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New folder\"/>
    </mc:Choice>
  </mc:AlternateContent>
  <xr:revisionPtr revIDLastSave="0" documentId="8_{3768C9B4-61C4-4E0C-89D6-0A440DCCF60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A12" i="35"/>
  <c r="Z21" i="37" s="1"/>
  <c r="A2" i="29"/>
  <c r="AF8" i="36"/>
  <c r="F64" i="29"/>
  <c r="F62" i="29"/>
  <c r="X29" i="37"/>
  <c r="AG12" i="37"/>
  <c r="G12" i="37"/>
  <c r="A12" i="36"/>
  <c r="C32" i="36"/>
  <c r="C31" i="36"/>
  <c r="C30" i="36"/>
  <c r="C29" i="36"/>
  <c r="C28" i="36"/>
  <c r="C27" i="36"/>
  <c r="C26" i="36"/>
  <c r="C25" i="36"/>
  <c r="C24" i="36"/>
  <c r="C23" i="36"/>
  <c r="C22" i="36"/>
  <c r="C21" i="36"/>
  <c r="C20" i="36"/>
  <c r="C19" i="36"/>
  <c r="U36" i="36"/>
  <c r="C41" i="36"/>
  <c r="A21" i="37" l="1"/>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A25" i="29" s="1"/>
  <c r="T25" i="29" s="1"/>
  <c r="Y9" i="29"/>
  <c r="A23" i="29" s="1"/>
  <c r="T23" i="29" s="1"/>
  <c r="F9" i="29"/>
  <c r="A21" i="29" s="1"/>
  <c r="X25" i="29" l="1"/>
  <c r="X35" i="29"/>
  <c r="X49" i="29"/>
  <c r="X33" i="29"/>
  <c r="X31" i="29"/>
  <c r="X23"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<sst xmlns="http://schemas.openxmlformats.org/spreadsheetml/2006/main" count="729" uniqueCount="366">
  <si>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</si>
  <si>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</si>
  <si>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</si>
  <si>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</si>
  <si>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</si>
  <si>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</si>
  <si>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</si>
  <si>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</si>
  <si>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</si>
  <si>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</si>
  <si>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</si>
  <si>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</si>
  <si>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</si>
  <si>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</si>
  <si>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</si>
  <si>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</si>
  <si>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</si>
  <si>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</si>
  <si>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</si>
  <si>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</si>
  <si>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</si>
  <si>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</si>
  <si>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</si>
  <si>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</si>
  <si>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</si>
  <si>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</si>
  <si>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</si>
  <si>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</si>
  <si>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</si>
  <si>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</si>
  <si>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</si>
  <si>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</si>
  <si>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</si>
  <si>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</si>
  <si>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</si>
  <si>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</si>
  <si>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</si>
  <si>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</si>
  <si>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</si>
  <si>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</si>
  <si>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</si>
  <si>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</si>
  <si>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</si>
  <si>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</si>
  <si>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</si>
  <si>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</si>
  <si>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</si>
  <si>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</si>
  <si>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</si>
  <si>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</si>
  <si>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</si>
  <si>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</si>
  <si>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</si>
  <si>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</si>
  <si>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</si>
  <si>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</si>
  <si>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</si>
  <si>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</si>
  <si>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</si>
  <si>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</si>
  <si>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</si>
  <si>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</si>
  <si>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</si>
  <si>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</si>
  <si>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</si>
  <si>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</si>
  <si>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</si>
  <si>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</si>
  <si>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</si>
  <si>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</si>
  <si>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</si>
  <si>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</si>
  <si>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</si>
  <si>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</si>
  <si>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</si>
  <si>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</si>
  <si>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</si>
  <si>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</si>
  <si>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</si>
  <si>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</si>
  <si>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</si>
  <si>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</si>
  <si>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</si>
  <si>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</si>
  <si>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</si>
  <si>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</si>
  <si>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</si>
  <si>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</si>
  <si>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</si>
  <si>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</si>
  <si>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</si>
  <si>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</si>
  <si>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</si>
  <si>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</si>
  <si>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</si>
  <si>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</si>
  <si>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</si>
  <si>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</si>
  <si>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</si>
  <si>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</si>
  <si>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</si>
  <si>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</si>
  <si>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</si>
  <si>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</si>
  <si>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</si>
  <si>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</si>
  <si>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</si>
  <si>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</si>
  <si>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</si>
  <si>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</si>
  <si>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</si>
  <si>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</si>
  <si>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</si>
  <si>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</si>
  <si>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</si>
  <si>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</si>
  <si>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</si>
  <si>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</si>
  <si>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</si>
  <si>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</si>
  <si>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</si>
  <si>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</si>
  <si>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</si>
  <si>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</si>
  <si>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</si>
  <si>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</si>
  <si>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</si>
  <si>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</si>
  <si>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</si>
  <si>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</si>
  <si>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</si>
  <si>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</si>
  <si>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</si>
  <si>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</si>
  <si>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</si>
  <si>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</si>
  <si>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</si>
  <si>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</si>
  <si>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</si>
  <si>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</si>
  <si>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</si>
  <si>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</si>
  <si>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</si>
  <si>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</si>
  <si>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</si>
  <si>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</si>
  <si>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</si>
  <si>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</si>
  <si>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</si>
  <si>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</si>
  <si>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</si>
  <si>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</si>
  <si>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</si>
  <si>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</si>
  <si>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</si>
  <si>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</si>
  <si>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</si>
  <si>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</si>
  <si>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</si>
  <si>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</si>
  <si>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</si>
  <si>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</si>
  <si>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</si>
  <si>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</si>
  <si>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</si>
  <si>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</si>
  <si>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</si>
  <si>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</si>
  <si>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</si>
  <si>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</si>
  <si>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</si>
  <si>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</si>
  <si>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</si>
  <si>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</si>
  <si>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</si>
  <si>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</si>
  <si>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</si>
  <si>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</si>
  <si>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</si>
  <si>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</si>
  <si>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</si>
  <si>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</si>
  <si>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</si>
  <si>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</si>
  <si>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</si>
  <si>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</si>
  <si>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</si>
  <si>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</si>
  <si>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</si>
  <si>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</si>
  <si>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</si>
  <si>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</si>
  <si>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</si>
  <si>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</si>
  <si>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</si>
  <si>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</si>
  <si>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</si>
  <si>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</si>
  <si>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</si>
  <si>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</si>
  <si>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</si>
  <si>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</si>
  <si>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</si>
  <si>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</si>
  <si>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</si>
  <si>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</si>
  <si>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</si>
  <si>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</si>
  <si>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</si>
  <si>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</si>
  <si>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</si>
  <si>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</si>
  <si>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</si>
  <si>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</si>
  <si>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</si>
  <si>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</si>
  <si>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</si>
  <si>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</si>
  <si>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</si>
  <si>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</si>
  <si>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</si>
  <si>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</si>
  <si>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</si>
  <si>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</si>
  <si>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</si>
  <si>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</si>
  <si>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</si>
  <si>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</si>
  <si>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</si>
  <si>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</si>
  <si>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</si>
  <si>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</si>
  <si>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</si>
  <si>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</si>
  <si>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</si>
  <si>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</si>
  <si>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</si>
  <si>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</si>
  <si>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</si>
  <si>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</si>
  <si>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</si>
  <si>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</si>
  <si>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</si>
  <si>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</si>
  <si>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</si>
  <si>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</si>
  <si>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</si>
  <si>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</si>
  <si>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</si>
  <si>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</si>
  <si>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</si>
  <si>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</si>
  <si>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</si>
  <si>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</si>
  <si>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</si>
  <si>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</si>
  <si>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</si>
  <si>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</si>
  <si>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</si>
  <si>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</si>
  <si>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</si>
  <si>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</si>
  <si>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</si>
  <si>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</si>
  <si>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</si>
  <si>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</si>
  <si>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</si>
  <si>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</si>
  <si>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</si>
  <si>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</si>
  <si>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</si>
  <si>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</si>
  <si>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</si>
  <si>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</si>
  <si>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</si>
  <si>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</si>
  <si>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</si>
  <si>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</si>
  <si>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</si>
  <si>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</si>
  <si>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</si>
  <si>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</si>
  <si>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</si>
  <si>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</si>
  <si>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</si>
  <si>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</si>
  <si>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</si>
  <si>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</si>
  <si>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</si>
  <si>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</si>
  <si>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</si>
  <si>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</si>
  <si>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</si>
  <si>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</si>
  <si>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</si>
  <si>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</si>
  <si>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</si>
  <si>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</si>
  <si>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</si>
  <si>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</si>
  <si>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</si>
  <si>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</si>
  <si>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</si>
  <si>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</si>
  <si>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</si>
  <si>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</si>
  <si>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</si>
  <si>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</si>
  <si>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</si>
  <si>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</si>
  <si>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</si>
  <si>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</si>
  <si>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</si>
  <si>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</si>
  <si>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</si>
  <si>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</si>
  <si>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</si>
  <si>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</si>
  <si>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</si>
  <si>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</si>
  <si>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</si>
  <si>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</si>
  <si>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</si>
  <si>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</si>
  <si>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</si>
  <si>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</si>
  <si>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</si>
  <si>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</si>
  <si>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</si>
  <si>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</si>
  <si>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</si>
  <si>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</si>
  <si>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</si>
  <si>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</si>
  <si>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</si>
  <si>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</si>
  <si>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</si>
  <si>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</si>
  <si>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</si>
  <si>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</si>
  <si>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</si>
  <si>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</si>
  <si>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</si>
  <si>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</si>
  <si>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</si>
  <si>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</si>
  <si>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</si>
  <si>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</si>
  <si>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</si>
  <si>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</si>
  <si>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นางสาวชัญญาณ์ภัช ปินดา</t>
  </si>
  <si>
    <t>1-5099-00308-72-1</t>
  </si>
  <si>
    <t>โฉนดที่ดินเลขที่ 21092 ต.ท่ากว้าง อ.สารภี (ปลอดจำนอง)
โฉนดที่ดินเลขที่ 73403 ต.ไชยสถาน อ.สารภี (ติดจำนอง)</t>
  </si>
  <si>
    <t xml:space="preserve">โฉนดที่ดินเลขที่ 21092 หน้าสำรวจ 718 เลขที่ดิน 236 ต.ท่ากว้าง อ.สารภี จ.เชียงใหม่ </t>
  </si>
  <si>
    <t>2666(67) - รายงานผลสืบทรัพย์ ราย นางสาวธิชาภรณ์ ทรายคำ สาขาบิ๊กซี หางดง (สืบรอบที่ 1)</t>
  </si>
  <si>
    <t>นางสาวธิชาภรณ์ ทรายคำ</t>
  </si>
  <si>
    <t>นายเกรียงศักดิ์ สุวรรณนิยม</t>
  </si>
  <si>
    <t>3-5802-00029-37-1</t>
  </si>
  <si>
    <t>นายปฐมพงษ์ เขื่อนธนะ</t>
  </si>
  <si>
    <t>1-5509-00032-79-4</t>
  </si>
  <si>
    <t>นางสุรีวัลย์ ดวงศรี</t>
  </si>
  <si>
    <t>2-5707-00001-43-5</t>
  </si>
  <si>
    <t>1-5099-00481-11-2</t>
  </si>
  <si>
    <t>นายอัครชัย จันทร์ขอนแก่น</t>
  </si>
  <si>
    <t>3-5603-00285-73-6</t>
  </si>
  <si>
    <t>มีนาคม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</si>
</sst>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8">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0" fontId="3" fillId="0" borderId="9" xfId="0" applyFont="1" applyBorder="1" applyAlignment="1">
      <alignment horizontal="center" vertical="top" wrapText="1"/>
    </xf>
    <xf numFmtId="0" fontId="3" fillId="0" borderId="3" xfId="0" applyFont="1" applyBorder="1" applyAlignment="1">
      <alignment vertical="top" wrapText="1"/>
    </xf>
    <xf numFmtId="43" fontId="3" fillId="0" borderId="3" xfId="1" applyFont="1" applyBorder="1" applyAlignment="1">
      <alignment horizontal="right" vertical="top" wrapText="1"/>
    </xf>
    <xf numFmtId="0" fontId="9" fillId="0" borderId="0" xfId="0" applyFont="1" applyAlignment="1">
      <alignment horizontal="center" vertical="top"/>
    </xf>
    <xf numFmtId="0" fontId="3" fillId="2" borderId="3" xfId="0" applyFont="1" applyFill="1" applyBorder="1" applyAlignment="1">
      <alignment horizontal="center"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1</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cell r="AC714"/>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t="str">
            <v>1.นายอุทัย  คำเขียว
2.นางสังวร  คำเขียว
3.นายเอกพงษ์  คำเขียว</v>
          </cell>
          <cell r="CE720"/>
          <cell r="CF720"/>
          <cell r="CG720"/>
          <cell r="CH720"/>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t="str">
            <v>นางพิทักษ์  พิมพ์เกตุ</v>
          </cell>
          <cell r="CE725"/>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cell r="AC732"/>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C755"/>
          <cell r="CD755" t="str">
            <v>นายจิรพงค์ เรือนกูล</v>
          </cell>
          <cell r="CE755">
            <v>243307</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BZ766" t="str">
            <v>ไม่พบทรัพย์</v>
          </cell>
          <cell r="CA766"/>
          <cell r="CB766"/>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A769"/>
          <cell r="CB769">
            <v>4</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cell r="Y870"/>
          <cell r="Z870"/>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8</v>
          </cell>
          <cell r="AB872">
            <v>9</v>
          </cell>
          <cell r="AC872">
            <v>2566</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20</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13</v>
          </cell>
          <cell r="Y883">
            <v>3</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AA887">
            <v>18</v>
          </cell>
          <cell r="AB887">
            <v>12</v>
          </cell>
          <cell r="AC887">
            <v>2561</v>
          </cell>
          <cell r="BB887" t="str">
            <v>ส่งสืบทรัพย์ครั้งที่หนึ่ง 22/1/67//ลงผล 26/3/67//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18</v>
          </cell>
          <cell r="Y892">
            <v>11</v>
          </cell>
          <cell r="Z892">
            <v>2562</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6</v>
          </cell>
          <cell r="AB907">
            <v>7</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v>5</v>
          </cell>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AA915">
            <v>18</v>
          </cell>
          <cell r="AB915">
            <v>11</v>
          </cell>
          <cell r="AC915">
            <v>2562</v>
          </cell>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2</v>
          </cell>
          <cell r="AB916">
            <v>8</v>
          </cell>
          <cell r="AC916">
            <v>2561</v>
          </cell>
          <cell r="BB916" t="str">
            <v>สืบทรัพย์ 22/1/67//ลงผลสืบทรัพย์ 26/3/67//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18</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v>
          </cell>
          <cell r="Y927">
            <v>6</v>
          </cell>
          <cell r="Z927">
            <v>2564</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F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25/03/67//ลงผล6/4/67//ลงผลคัดภาพลักษณ์22/4/2567//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F929"/>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6</v>
          </cell>
          <cell r="Y930">
            <v>8</v>
          </cell>
          <cell r="Z930">
            <v>2563</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B936">
            <v>5</v>
          </cell>
          <cell r="CC936"/>
          <cell r="CF936"/>
          <cell r="CK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10</v>
          </cell>
          <cell r="AB940">
            <v>8</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10</v>
          </cell>
          <cell r="Y942">
            <v>8</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25</v>
          </cell>
          <cell r="AB944">
            <v>4</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F947"/>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20</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3</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B952">
            <v>5</v>
          </cell>
          <cell r="CC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t="str">
            <v>ปฏิยุทธ์</v>
          </cell>
          <cell r="CD993"/>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t="str">
            <v>ธนาคารประชาชน</v>
          </cell>
          <cell r="P1171" t="str">
            <v>2.หลักทรัพย์ค้ำประกัน</v>
          </cell>
          <cell r="Q1171">
            <v>78542.460000000006</v>
          </cell>
          <cell r="R1171">
            <v>25963.72</v>
          </cell>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ผบE320</v>
          </cell>
          <cell r="U1172">
            <v>2566</v>
          </cell>
          <cell r="V1172" t="str">
            <v>ผบE3636</v>
          </cell>
          <cell r="W1172">
            <v>2566</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นายสถาพร อินเป็ง</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p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zoomScale="120" zoomScaleNormal="120" workbookViewId="0">
      <selection activeCell="D9" sqref="D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8">
        <v>2666</v>
      </c>
    </row>
    <row r="2" spans="1:11">
      <c r="A2" s="143" t="s">
        <v>253</v>
      </c>
      <c r="B2" s="145" t="str" cm="1">
        <f t="array" ref="B2">_xlfn.IFS(I1&lt;850,VLOOKUP(I1,[1]บังคับคดี!$B:$ZZ,60,0),AND(I1&gt;=850,I1&lt;1435),VLOOKUP(I1,'[1]บังคับคดีใหม่ ปี2563-2564'!$B:$ZZ,63,0),I1&gt;=1435,VLOOKUP(I1,'[1]สืบทรัพย์ ปี 2564-25666'!$B:$ZZ,71,0))</f>
        <v>นางสาวธิชาภรณ์ ทรายคำ</v>
      </c>
      <c r="C2" s="175" t="s">
        <v>73</v>
      </c>
      <c r="D2" s="145" t="str" cm="1">
        <f t="array" ref="D2">_xlfn.IFS(I1&lt;850,VLOOKUP(I1,[1]บังคับคดี!$B:$ZZ,10,0),AND(I1&gt;=850,I1&lt;1435),VLOOKUP(I1,'[1]บังคับคดีใหม่ ปี2563-2564'!$B:$ZZ,11,0),I1&gt;=1435,VLOOKUP(I1,'[1]สืบทรัพย์ ปี 2564-25666'!$B:$ZZ,11,0))</f>
        <v>บิ๊กซี หางดง</v>
      </c>
      <c r="E2" s="153" t="s">
        <v>258</v>
      </c>
      <c r="F2" s="145">
        <v>1</v>
      </c>
      <c r="I2" s="248"/>
    </row>
    <row r="3" spans="1:11">
      <c r="A3" s="143" t="s">
        <v>254</v>
      </c>
      <c r="B3" s="144" cm="1">
        <f t="array" ref="B3">_xlfn.IFS(I1&lt;850,VLOOKUP(I1,[1]บังคับคดี!$B:$ZZ,13,0),AND(I1&gt;=850,I1&lt;1435),VLOOKUP(I1,'[1]บังคับคดีใหม่ ปี2563-2564'!$B:$ZZ,14,0),I1&gt;=1435,VLOOKUP(I1,'[1]สืบทรัพย์ ปี 2564-25666'!$B:$ZZ,14,0))</f>
        <v>0</v>
      </c>
      <c r="C3" s="175" t="s">
        <v>208</v>
      </c>
      <c r="D3" s="147" cm="1">
        <f t="array" ref="D3">_xlfn.IFS(I1&lt;850,VLOOKUP(I1,[1]บังคับคดี!$B:$ZZ,59,0),AND(I1&gt;=850,I1&lt;1435),VLOOKUP(I1,'[1]บังคับคดีใหม่ ปี2563-2564'!$B:$ZZ,64,0),I1&gt;=1435,VLOOKUP(I1,'[1]สืบทรัพย์ ปี 2564-25666'!$B:$ZZ,72,0))</f>
        <v>0</v>
      </c>
      <c r="E3" s="153" t="s">
        <v>257</v>
      </c>
      <c r="F3" s="149"/>
      <c r="I3" s="248"/>
    </row>
    <row r="4" spans="1:11">
      <c r="A4" s="143" t="s">
        <v>255</v>
      </c>
      <c r="B4" s="146" cm="1">
        <f t="array" ref="B4">_xlfn.IFS(I1&lt;850,VLOOKUP(I1,[1]บังคับคดี!$B:$ZZ,5,0),AND(I1&gt;=850,I1&lt;1435),VLOOKUP(I1,'[1]บังคับคดีใหม่ ปี2563-2564'!$B:$ZZ,6,0),I1&gt;=1435,VLOOKUP(I1,'[1]สืบทรัพย์ ปี 2564-25666'!$B:$ZZ,6,0))</f>
        <v>800046680719</v>
      </c>
      <c r="C4" s="176" t="s">
        <v>266</v>
      </c>
      <c r="D4" s="218">
        <v>243392</v>
      </c>
      <c r="E4" s="221" t="s">
        <v>340</v>
      </c>
      <c r="F4" s="218"/>
      <c r="I4" s="157" t="s">
        <v>246</v>
      </c>
    </row>
    <row r="5" spans="1:11">
      <c r="A5" s="143" t="s">
        <v>256</v>
      </c>
      <c r="B5" s="144" t="str" cm="1">
        <f t="array" ref="B5">_xlfn.IFS(I1&lt;850,VLOOKUP(I1,[1]บังคับคดี!$B:$ZZ,17,0),AND(I1&gt;=850,I1&lt;1435),VLOOKUP(I1,'[1]บังคับคดีใหม่ ปี2563-2564'!$B:$ZZ,18,0),I1&gt;=1435,VLOOKUP(I1,'[1]สืบทรัพย์ ปี 2564-25666'!$B:$ZZ,18,0))</f>
        <v>ศาลแขวงเชียงใหม่</v>
      </c>
      <c r="C5" s="175" t="s">
        <v>156</v>
      </c>
      <c r="D5" s="219"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ผบE1889/2566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ผบE3415/2566</v>
      </c>
      <c r="I5" s="157" t="s">
        <v>259</v>
      </c>
    </row>
    <row r="6" spans="1:11">
      <c r="A6" s="153" t="s">
        <v>341</v>
      </c>
      <c r="B6" s="171">
        <v>95648.44</v>
      </c>
      <c r="C6" s="224" t="s">
        <v>347</v>
      </c>
      <c r="D6" s="148">
        <v>243837</v>
      </c>
    </row>
    <row r="7" spans="1:11">
      <c r="A7" s="153"/>
      <c r="B7" s="190"/>
      <c r="D7" s="191"/>
    </row>
    <row r="8" spans="1:11">
      <c r="A8" s="153" t="s">
        <v>279</v>
      </c>
      <c r="B8" s="145" t="s">
        <v>363</v>
      </c>
      <c r="C8" s="175" t="s">
        <v>317</v>
      </c>
      <c r="D8" s="145">
        <v>42</v>
      </c>
      <c r="E8" s="175" t="s">
        <v>280</v>
      </c>
      <c r="F8" s="192" t="s">
        <v>364</v>
      </c>
      <c r="G8"/>
    </row>
    <row r="9" spans="1:11">
      <c r="A9" s="153" t="s">
        <v>327</v>
      </c>
      <c r="B9" s="219">
        <v>243741</v>
      </c>
      <c r="D9"/>
    </row>
    <row r="10" spans="1:11">
      <c r="A10" s="153"/>
      <c r="B10"/>
      <c r="C10"/>
      <c r="D10"/>
    </row>
    <row r="11" spans="1:11">
      <c r="A11" s="155" t="s">
        <v>245</v>
      </c>
      <c r="B11" s="160" t="s">
        <v>250</v>
      </c>
      <c r="C11" s="177" t="s">
        <v>232</v>
      </c>
      <c r="D11" s="150" t="s">
        <v>248</v>
      </c>
      <c r="E11" s="150" t="s">
        <v>239</v>
      </c>
      <c r="F11" s="150" t="s">
        <v>261</v>
      </c>
      <c r="G11" s="150" t="s">
        <v>247</v>
      </c>
      <c r="H11" s="140"/>
      <c r="I11" s="156" t="s">
        <v>236</v>
      </c>
      <c r="J11" s="156"/>
      <c r="K11" s="156"/>
    </row>
    <row r="12" spans="1:11" s="151" customFormat="1" ht="21.75" customHeight="1">
      <c r="A12" s="165" t="str">
        <f>IF(B14="","จำเลย","จำเลยที่ 1")</f>
        <v>จำเลยที่ 1</v>
      </c>
      <c r="B12" s="158" t="s">
        <v>355</v>
      </c>
      <c r="C12" s="226" t="s">
        <v>351</v>
      </c>
      <c r="D12" s="152" t="s">
        <v>240</v>
      </c>
      <c r="E12" s="158"/>
      <c r="F12" s="169"/>
      <c r="G12" s="152"/>
      <c r="I12" s="249" t="s">
        <v>243</v>
      </c>
      <c r="J12" s="249"/>
      <c r="K12" s="249"/>
    </row>
    <row r="13" spans="1:11" s="151" customFormat="1">
      <c r="A13" s="165" t="str">
        <f>IF(B14="","คู่สมรส","คู่สมรสจำเลยที่ 1")</f>
        <v>คู่สมรสจำเลยที่ 1</v>
      </c>
      <c r="B13" s="158" t="s">
        <v>356</v>
      </c>
      <c r="C13" s="203" t="s">
        <v>357</v>
      </c>
      <c r="D13" s="152" t="s">
        <v>240</v>
      </c>
      <c r="E13" s="158"/>
      <c r="F13" s="169"/>
      <c r="G13" s="152"/>
      <c r="I13" s="249"/>
      <c r="J13" s="249"/>
      <c r="K13" s="249"/>
    </row>
    <row r="14" spans="1:11" s="151" customFormat="1" ht="87" customHeight="1">
      <c r="A14" s="165" t="s">
        <v>212</v>
      </c>
      <c r="B14" s="158" t="s">
        <v>350</v>
      </c>
      <c r="C14" s="203" t="s">
        <v>362</v>
      </c>
      <c r="D14" s="152" t="s">
        <v>241</v>
      </c>
      <c r="E14" s="227" t="s">
        <v>352</v>
      </c>
      <c r="F14" s="169"/>
      <c r="G14" s="152"/>
      <c r="I14" s="166" t="s">
        <v>249</v>
      </c>
      <c r="J14" s="166"/>
      <c r="K14" s="166"/>
    </row>
    <row r="15" spans="1:11" s="151" customFormat="1">
      <c r="A15" s="165" t="s">
        <v>215</v>
      </c>
      <c r="B15" s="158" t="s">
        <v>358</v>
      </c>
      <c r="C15" s="203" t="s">
        <v>359</v>
      </c>
      <c r="D15" s="152" t="s">
        <v>240</v>
      </c>
      <c r="E15" s="227"/>
      <c r="F15" s="228"/>
      <c r="G15" s="152"/>
      <c r="I15" s="166" t="s">
        <v>251</v>
      </c>
      <c r="J15" s="166"/>
      <c r="K15" s="166"/>
    </row>
    <row r="16" spans="1:11" s="151" customFormat="1">
      <c r="A16" s="165" t="s">
        <v>213</v>
      </c>
      <c r="B16" s="158" t="s">
        <v>360</v>
      </c>
      <c r="C16" s="203" t="s">
        <v>361</v>
      </c>
      <c r="D16" s="152" t="s">
        <v>240</v>
      </c>
      <c r="E16" s="158"/>
      <c r="F16" s="169"/>
      <c r="G16" s="152"/>
      <c r="I16" s="166" t="s">
        <v>342</v>
      </c>
      <c r="J16" s="166"/>
      <c r="K16" s="166"/>
    </row>
    <row r="17" spans="1:12" s="151" customFormat="1">
      <c r="A17" s="165" t="s">
        <v>216</v>
      </c>
      <c r="B17" s="158" t="s">
        <v>152</v>
      </c>
      <c r="C17" s="203" t="s">
        <v>152</v>
      </c>
      <c r="D17" s="152" t="s">
        <v>152</v>
      </c>
      <c r="E17" s="158"/>
      <c r="F17" s="169"/>
      <c r="G17" s="152"/>
      <c r="I17" s="166" t="s">
        <v>343</v>
      </c>
      <c r="J17" s="166"/>
      <c r="K17" s="166"/>
    </row>
    <row r="18" spans="1:12" s="151" customFormat="1" ht="21.75" customHeight="1">
      <c r="A18" s="165" t="s">
        <v>217</v>
      </c>
      <c r="B18" s="158"/>
      <c r="C18" s="203"/>
      <c r="D18" s="152"/>
      <c r="E18" s="158"/>
      <c r="F18" s="169"/>
      <c r="G18" s="152"/>
      <c r="I18" s="166" t="s">
        <v>344</v>
      </c>
      <c r="J18" s="159"/>
      <c r="K18" s="159"/>
    </row>
    <row r="19" spans="1:12" s="151" customFormat="1" ht="21.75" customHeight="1">
      <c r="A19" s="165" t="s">
        <v>220</v>
      </c>
      <c r="B19" s="158"/>
      <c r="C19" s="203"/>
      <c r="D19" s="152"/>
      <c r="E19" s="158"/>
      <c r="F19" s="169"/>
      <c r="G19" s="152"/>
      <c r="I19" s="223" t="s">
        <v>345</v>
      </c>
      <c r="J19" s="220"/>
      <c r="K19" s="220"/>
    </row>
    <row r="20" spans="1:12" s="151" customFormat="1">
      <c r="A20" s="165" t="s">
        <v>218</v>
      </c>
      <c r="B20" s="158"/>
      <c r="C20" s="203"/>
      <c r="D20" s="152"/>
      <c r="E20" s="158"/>
      <c r="F20" s="169"/>
      <c r="G20" s="152"/>
      <c r="I20" s="220"/>
      <c r="J20" s="220"/>
      <c r="K20" s="220"/>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263</v>
      </c>
    </row>
    <row r="23" spans="1:12" s="151" customFormat="1">
      <c r="A23" s="165" t="s">
        <v>222</v>
      </c>
      <c r="B23" s="158"/>
      <c r="C23" s="203"/>
      <c r="D23" s="152"/>
      <c r="E23" s="158"/>
      <c r="F23" s="169"/>
      <c r="G23" s="152"/>
      <c r="I23" s="151" t="str">
        <f>CONCATENATE(I1," - รายงานผลสืบทรัพย์ ราย ",B2," ",C2,D2," (สืบรอบที่ ",F2,")")</f>
        <v>2666 - รายงานผลสืบทรัพย์ ราย นางสาวธิชาภรณ์ ทรายคำ สาขาบิ๊กซี หางดง (สืบรอบที่ 1)</v>
      </c>
    </row>
    <row r="24" spans="1:12" s="151" customFormat="1">
      <c r="A24" s="165" t="s">
        <v>225</v>
      </c>
      <c r="B24" s="158"/>
      <c r="C24" s="203"/>
      <c r="D24" s="152"/>
      <c r="E24" s="158"/>
      <c r="F24" s="169"/>
      <c r="G24" s="152"/>
      <c r="I24" s="158"/>
      <c r="J24" s="222"/>
      <c r="K24" s="222"/>
      <c r="L24" s="222"/>
    </row>
    <row r="25" spans="1:12" s="151" customFormat="1">
      <c r="A25" s="165" t="s">
        <v>229</v>
      </c>
      <c r="B25" s="158"/>
      <c r="C25" s="203"/>
      <c r="D25" s="152"/>
      <c r="E25" s="158"/>
      <c r="F25" s="169"/>
      <c r="G25" s="152"/>
      <c r="J25" s="222"/>
      <c r="K25" s="222"/>
      <c r="L25" s="222"/>
    </row>
    <row r="26" spans="1:12" s="151" customFormat="1">
      <c r="A26" s="165" t="s">
        <v>226</v>
      </c>
      <c r="B26" s="158"/>
      <c r="C26" s="203"/>
      <c r="D26" s="152"/>
      <c r="E26" s="158"/>
      <c r="F26" s="169"/>
      <c r="G26" s="152"/>
      <c r="J26" s="222"/>
      <c r="K26" s="222"/>
      <c r="L26" s="222"/>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262</v>
      </c>
      <c r="B33" s="2" t="s">
        <v>353</v>
      </c>
      <c r="D33" s="173" t="s">
        <v>261</v>
      </c>
      <c r="E33" s="178"/>
      <c r="F33" s="2" t="s">
        <v>132</v>
      </c>
    </row>
    <row r="35" spans="1:6">
      <c r="A35" s="229"/>
      <c r="B35" s="230"/>
      <c r="C35" s="230"/>
      <c r="D35" s="230"/>
      <c r="E35" s="226"/>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32" zoomScaleNormal="100" zoomScaleSheetLayoutView="100" workbookViewId="0">
      <selection activeCell="AM23" sqref="AM23"/>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5">
        <f>YEAR(Sheet1!D6)</f>
        <v>2567</v>
      </c>
      <c r="AM1"/>
    </row>
    <row r="2" spans="1:43" ht="23.4">
      <c r="A2" s="250" t="str">
        <f>CONCATENATE("รายงานการสืบทรัพย์ (ข้อมูล ณ วันที่ ",TEXT(Sheet1!D6,"d ดดดด yyyy"),")")</f>
        <v>รายงานการสืบทรัพย์ (ข้อมูล ณ วันที่ 7 สิงหาคม 2567)</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348</v>
      </c>
      <c r="B4" s="137"/>
      <c r="E4" s="255" t="str">
        <f>Sheet1!B2</f>
        <v>นางสาวธิชาภรณ์ ทรายคำ</v>
      </c>
      <c r="F4" s="255"/>
      <c r="G4" s="255"/>
      <c r="H4" s="255"/>
      <c r="I4" s="255"/>
      <c r="J4" s="255"/>
      <c r="K4" s="255"/>
      <c r="L4" s="255"/>
      <c r="M4" s="255"/>
      <c r="N4" s="255"/>
      <c r="O4" s="255"/>
      <c r="P4" s="255"/>
      <c r="Q4" s="255"/>
      <c r="R4" s="255"/>
      <c r="S4" s="255"/>
      <c r="T4" s="255"/>
      <c r="U4" s="254" t="s">
        <v>73</v>
      </c>
      <c r="V4" s="254"/>
      <c r="W4" s="255" t="str">
        <f>Sheet1!D2</f>
        <v>บิ๊กซี หางดง</v>
      </c>
      <c r="X4" s="255"/>
      <c r="Y4" s="255"/>
      <c r="Z4" s="255"/>
      <c r="AA4" s="255"/>
      <c r="AB4" s="255"/>
      <c r="AC4" s="255"/>
      <c r="AD4" s="255"/>
      <c r="AE4" s="255"/>
      <c r="AF4" s="255"/>
      <c r="AG4" s="255"/>
      <c r="AH4" s="255"/>
      <c r="AI4" s="255"/>
      <c r="AJ4" s="255"/>
      <c r="AK4" s="138"/>
      <c r="AL4" s="186" t="s">
        <v>263</v>
      </c>
      <c r="AM4" s="185" t="s">
        <v>354</v>
      </c>
      <c r="AO4" s="161" t="s">
        <v>242</v>
      </c>
      <c r="AP4" s="138"/>
      <c r="AQ4" s="138"/>
    </row>
    <row r="5" spans="1:43">
      <c r="A5" s="19" t="s">
        <v>206</v>
      </c>
      <c r="B5" s="137"/>
      <c r="D5" s="255">
        <f>Sheet1!B3</f>
        <v>0</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2666(67) - รายงานผลสืบทรัพย์ ราย นางสาวธิชาภรณ์ ทรายคำ สาขาบิ๊กซี หางดง (สืบรอบที่ 1)</v>
      </c>
      <c r="AM5" s="138"/>
      <c r="AO5" s="162" t="s">
        <v>260</v>
      </c>
      <c r="AP5" s="138"/>
      <c r="AQ5" s="138"/>
    </row>
    <row r="6" spans="1:43">
      <c r="A6" s="19" t="s">
        <v>207</v>
      </c>
      <c r="B6" s="137"/>
      <c r="F6" s="259">
        <f>Sheet1!B4</f>
        <v>800046680719</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346</v>
      </c>
      <c r="AO6" s="162" t="s">
        <v>252</v>
      </c>
      <c r="AP6" s="138"/>
      <c r="AQ6" s="138"/>
    </row>
    <row r="7" spans="1:43">
      <c r="A7" s="19" t="s">
        <v>63</v>
      </c>
      <c r="B7" s="137"/>
      <c r="C7" s="255" t="str">
        <f>Sheet1!B5</f>
        <v>ศาลแขวงเชียงใหม่</v>
      </c>
      <c r="D7" s="255"/>
      <c r="E7" s="255"/>
      <c r="F7" s="255"/>
      <c r="G7" s="255"/>
      <c r="H7" s="255"/>
      <c r="I7" s="255"/>
      <c r="J7" s="255"/>
      <c r="K7" s="280" t="s">
        <v>209</v>
      </c>
      <c r="L7" s="280"/>
      <c r="M7" s="280"/>
      <c r="N7" s="280"/>
      <c r="O7" s="280"/>
      <c r="P7" s="280"/>
      <c r="Q7" s="256" t="str">
        <f>Sheet1!D5</f>
        <v>ผบE1889/2566</v>
      </c>
      <c r="R7" s="256"/>
      <c r="S7" s="256"/>
      <c r="T7" s="256"/>
      <c r="U7" s="256"/>
      <c r="V7" s="256"/>
      <c r="W7" s="256"/>
      <c r="X7" s="279" t="s">
        <v>210</v>
      </c>
      <c r="Y7" s="279"/>
      <c r="Z7" s="279"/>
      <c r="AA7" s="279"/>
      <c r="AB7" s="279"/>
      <c r="AC7" s="279"/>
      <c r="AD7" s="256" t="str">
        <f>Sheet1!F5</f>
        <v>ผบE3415/2566</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
        <v>211</v>
      </c>
      <c r="F9" s="257" t="str">
        <f>Sheet1!B12</f>
        <v>นางสาวธิชาภรณ์ ทรายคำ</v>
      </c>
      <c r="G9" s="257"/>
      <c r="H9" s="257"/>
      <c r="I9" s="257"/>
      <c r="J9" s="257"/>
      <c r="K9" s="257"/>
      <c r="L9" s="257"/>
      <c r="M9" s="257"/>
      <c r="N9" s="257"/>
      <c r="O9" s="257"/>
      <c r="P9" s="257"/>
      <c r="Q9" s="257"/>
      <c r="R9" s="257"/>
      <c r="S9" s="2" t="s">
        <v>214</v>
      </c>
      <c r="Y9" s="258" t="str">
        <f>Sheet1!B13</f>
        <v>นายเกรียงศักดิ์ สุวรรณนิยม</v>
      </c>
      <c r="Z9" s="258"/>
      <c r="AA9" s="258"/>
      <c r="AB9" s="258"/>
      <c r="AC9" s="258"/>
      <c r="AD9" s="258"/>
      <c r="AE9" s="258"/>
      <c r="AF9" s="258"/>
      <c r="AG9" s="258"/>
      <c r="AH9" s="258"/>
      <c r="AI9" s="258"/>
      <c r="AJ9" s="258"/>
      <c r="AK9" s="138"/>
      <c r="AN9" s="138"/>
      <c r="AO9" s="163" t="s">
        <v>236</v>
      </c>
      <c r="AP9" s="138"/>
      <c r="AQ9" s="138"/>
    </row>
    <row r="10" spans="1:43">
      <c r="A10" s="19"/>
      <c r="B10" s="2" t="s">
        <v>212</v>
      </c>
      <c r="F10" s="257" t="str">
        <f>Sheet1!B14</f>
        <v>นางสาวชัญญาณ์ภัช ปินดา</v>
      </c>
      <c r="G10" s="257"/>
      <c r="H10" s="257"/>
      <c r="I10" s="257"/>
      <c r="J10" s="257"/>
      <c r="K10" s="257"/>
      <c r="L10" s="257"/>
      <c r="M10" s="257"/>
      <c r="N10" s="257"/>
      <c r="O10" s="257"/>
      <c r="P10" s="257"/>
      <c r="Q10" s="257"/>
      <c r="R10" s="257"/>
      <c r="S10" s="2" t="s">
        <v>215</v>
      </c>
      <c r="Y10" s="258" t="str">
        <f>Sheet1!B15</f>
        <v>นายปฐมพงษ์ เขื่อนธนะ</v>
      </c>
      <c r="Z10" s="258"/>
      <c r="AA10" s="258"/>
      <c r="AB10" s="258"/>
      <c r="AC10" s="258"/>
      <c r="AD10" s="258"/>
      <c r="AE10" s="258"/>
      <c r="AF10" s="258"/>
      <c r="AG10" s="258"/>
      <c r="AH10" s="258"/>
      <c r="AI10" s="258"/>
      <c r="AJ10" s="258"/>
      <c r="AK10" s="138"/>
      <c r="AN10" s="138"/>
      <c r="AO10" s="164" t="s">
        <v>237</v>
      </c>
      <c r="AP10" s="138"/>
      <c r="AQ10" s="138"/>
    </row>
    <row r="11" spans="1:43">
      <c r="A11" s="19"/>
      <c r="B11" s="2" t="s">
        <v>213</v>
      </c>
      <c r="F11" s="257" t="str">
        <f>Sheet1!B16</f>
        <v>นางสุรีวัลย์ ดวงศรี</v>
      </c>
      <c r="G11" s="257"/>
      <c r="H11" s="257"/>
      <c r="I11" s="257"/>
      <c r="J11" s="257"/>
      <c r="K11" s="257"/>
      <c r="L11" s="257"/>
      <c r="M11" s="257"/>
      <c r="N11" s="257"/>
      <c r="O11" s="257"/>
      <c r="P11" s="257"/>
      <c r="Q11" s="257"/>
      <c r="R11" s="257"/>
      <c r="S11" s="2" t="s">
        <v>216</v>
      </c>
      <c r="Y11" s="258" t="str">
        <f>Sheet1!B17</f>
        <v>-</v>
      </c>
      <c r="Z11" s="258"/>
      <c r="AA11" s="258"/>
      <c r="AB11" s="258"/>
      <c r="AC11" s="258"/>
      <c r="AD11" s="258"/>
      <c r="AE11" s="258"/>
      <c r="AF11" s="258"/>
      <c r="AG11" s="258"/>
      <c r="AH11" s="258"/>
      <c r="AI11" s="258"/>
      <c r="AJ11" s="258"/>
      <c r="AK11" s="138"/>
      <c r="AL11" s="138"/>
      <c r="AM11" s="138"/>
      <c r="AN11" s="138"/>
      <c r="AO11" s="164" t="s">
        <v>238</v>
      </c>
      <c r="AP11" s="138"/>
      <c r="AQ11" s="138"/>
    </row>
    <row r="12" spans="1:43" hidden="1">
      <c r="A12" s="19"/>
      <c r="B12" s="2" t="s">
        <v>217</v>
      </c>
      <c r="F12" s="257">
        <f>Sheet1!B18</f>
        <v>0</v>
      </c>
      <c r="G12" s="257"/>
      <c r="H12" s="257"/>
      <c r="I12" s="257"/>
      <c r="J12" s="257"/>
      <c r="K12" s="257"/>
      <c r="L12" s="257"/>
      <c r="M12" s="257"/>
      <c r="N12" s="257"/>
      <c r="O12" s="257"/>
      <c r="P12" s="257"/>
      <c r="Q12" s="257"/>
      <c r="R12" s="257"/>
      <c r="S12" s="2" t="s">
        <v>220</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218</v>
      </c>
      <c r="F13" s="257">
        <f>Sheet1!B20</f>
        <v>0</v>
      </c>
      <c r="G13" s="257"/>
      <c r="H13" s="257"/>
      <c r="I13" s="257"/>
      <c r="J13" s="257"/>
      <c r="K13" s="257"/>
      <c r="L13" s="257"/>
      <c r="M13" s="257"/>
      <c r="N13" s="257"/>
      <c r="O13" s="257"/>
      <c r="P13" s="257"/>
      <c r="Q13" s="257"/>
      <c r="R13" s="257"/>
      <c r="S13" s="2" t="s">
        <v>221</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219</v>
      </c>
      <c r="F14" s="257">
        <f>Sheet1!B22</f>
        <v>0</v>
      </c>
      <c r="G14" s="257"/>
      <c r="H14" s="257"/>
      <c r="I14" s="257"/>
      <c r="J14" s="257"/>
      <c r="K14" s="257"/>
      <c r="L14" s="257"/>
      <c r="M14" s="257"/>
      <c r="N14" s="257"/>
      <c r="O14" s="257"/>
      <c r="P14" s="257"/>
      <c r="Q14" s="257"/>
      <c r="R14" s="257"/>
      <c r="S14" s="2" t="s">
        <v>222</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225</v>
      </c>
      <c r="F15" s="257">
        <f>Sheet1!B24</f>
        <v>0</v>
      </c>
      <c r="G15" s="257"/>
      <c r="H15" s="257"/>
      <c r="I15" s="257"/>
      <c r="J15" s="257"/>
      <c r="K15" s="257"/>
      <c r="L15" s="257"/>
      <c r="M15" s="257"/>
      <c r="N15" s="257"/>
      <c r="O15" s="257"/>
      <c r="P15" s="257"/>
      <c r="Q15" s="257"/>
      <c r="R15" s="257"/>
      <c r="S15" s="2" t="s">
        <v>229</v>
      </c>
      <c r="Y15" s="258">
        <f>Sheet1!B25</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226</v>
      </c>
      <c r="F16" s="257">
        <f>Sheet1!B26</f>
        <v>0</v>
      </c>
      <c r="G16" s="257"/>
      <c r="H16" s="257"/>
      <c r="I16" s="257"/>
      <c r="J16" s="257"/>
      <c r="K16" s="257"/>
      <c r="L16" s="257"/>
      <c r="M16" s="257"/>
      <c r="N16" s="257"/>
      <c r="O16" s="257"/>
      <c r="P16" s="257"/>
      <c r="Q16" s="257"/>
      <c r="R16" s="257"/>
      <c r="S16" s="2" t="s">
        <v>230</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227</v>
      </c>
      <c r="F17" s="257">
        <f>Sheet1!B28</f>
        <v>0</v>
      </c>
      <c r="G17" s="257"/>
      <c r="H17" s="257"/>
      <c r="I17" s="257"/>
      <c r="J17" s="257"/>
      <c r="K17" s="257"/>
      <c r="L17" s="257"/>
      <c r="M17" s="257"/>
      <c r="N17" s="257"/>
      <c r="O17" s="257"/>
      <c r="P17" s="257"/>
      <c r="Q17" s="257"/>
      <c r="R17" s="257"/>
      <c r="S17" s="2" t="s">
        <v>231</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228</v>
      </c>
      <c r="F18" s="257">
        <f>Sheet1!B30</f>
        <v>0</v>
      </c>
      <c r="G18" s="257"/>
      <c r="H18" s="257"/>
      <c r="I18" s="257"/>
      <c r="J18" s="257"/>
      <c r="K18" s="257"/>
      <c r="L18" s="257"/>
      <c r="M18" s="257"/>
      <c r="N18" s="257"/>
      <c r="O18" s="257"/>
      <c r="P18" s="257"/>
      <c r="Q18" s="257"/>
      <c r="R18" s="257"/>
      <c r="S18" s="2" t="s">
        <v>224</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223</v>
      </c>
      <c r="H20" s="251"/>
      <c r="I20" s="251"/>
      <c r="J20" s="251"/>
      <c r="K20" s="251"/>
      <c r="L20" s="251"/>
      <c r="M20" s="251"/>
      <c r="N20" s="251"/>
      <c r="O20" s="251"/>
      <c r="P20" s="251"/>
      <c r="Q20" s="251"/>
      <c r="R20" s="251"/>
      <c r="S20" s="251"/>
      <c r="T20" s="251" t="s">
        <v>265</v>
      </c>
      <c r="U20" s="251"/>
      <c r="V20" s="251"/>
      <c r="W20" s="251"/>
      <c r="X20" s="261" t="s">
        <v>234</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IF(F9=0,"ซ่อนช่อง","จำเลยที่ 1")</f>
        <v>จำเลยที่ 1</v>
      </c>
      <c r="B21" s="252"/>
      <c r="C21" s="252"/>
      <c r="D21" s="252"/>
      <c r="E21" s="252"/>
      <c r="F21" s="252"/>
      <c r="G21" s="263" t="s">
        <v>235</v>
      </c>
      <c r="H21" s="263"/>
      <c r="I21" s="263"/>
      <c r="J21" s="263"/>
      <c r="K21" s="263"/>
      <c r="L21" s="263"/>
      <c r="M21" s="263"/>
      <c r="N21" s="263"/>
      <c r="O21" s="263"/>
      <c r="P21" s="263"/>
      <c r="Q21" s="263"/>
      <c r="R21" s="263"/>
      <c r="S21" s="263"/>
      <c r="T21" s="264" t="str">
        <f>VLOOKUP(A21,Sheet1!A11:G31,4,0)</f>
        <v>ไม่พบ</v>
      </c>
      <c r="U21" s="264"/>
      <c r="V21" s="264"/>
      <c r="W21" s="264"/>
      <c r="X21" s="262" t="str">
        <f>IF(OR(T21="ไม่พบ",T21="-"),"-",VLOOKUP(A21,Sheet1!A11:G31,5,0))</f>
        <v>-</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264</v>
      </c>
      <c r="H22" s="263"/>
      <c r="I22" s="263"/>
      <c r="J22" s="263"/>
      <c r="K22" s="263"/>
      <c r="L22" s="263"/>
      <c r="M22" s="263"/>
      <c r="N22" s="263"/>
      <c r="O22" s="263"/>
      <c r="P22" s="263"/>
      <c r="Q22" s="263"/>
      <c r="R22" s="263"/>
      <c r="S22" s="263"/>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IF(Y9=0,"ซ่อนช่อง","คู่สมรสจำเลยที่ 1")</f>
        <v>คู่สมรสจำเลยที่ 1</v>
      </c>
      <c r="B23" s="252"/>
      <c r="C23" s="252"/>
      <c r="D23" s="252"/>
      <c r="E23" s="252"/>
      <c r="F23" s="252"/>
      <c r="G23" s="263" t="s">
        <v>235</v>
      </c>
      <c r="H23" s="263"/>
      <c r="I23" s="263"/>
      <c r="J23" s="263"/>
      <c r="K23" s="263"/>
      <c r="L23" s="263"/>
      <c r="M23" s="263"/>
      <c r="N23" s="263"/>
      <c r="O23" s="263"/>
      <c r="P23" s="263"/>
      <c r="Q23" s="263"/>
      <c r="R23" s="263"/>
      <c r="S23" s="263"/>
      <c r="T23" s="264" t="str">
        <f>VLOOKUP(A23,Sheet1!A11:G31,4,0)</f>
        <v>ไม่พบ</v>
      </c>
      <c r="U23" s="264"/>
      <c r="V23" s="264"/>
      <c r="W23" s="264"/>
      <c r="X23" s="262" t="str">
        <f>IF(OR(T23="ไม่พบ",T23="-"),"-",VLOOKUP(A23,Sheet1!A11:G31,5,0))</f>
        <v>-</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264</v>
      </c>
      <c r="H24" s="263"/>
      <c r="I24" s="263"/>
      <c r="J24" s="263"/>
      <c r="K24" s="263"/>
      <c r="L24" s="263"/>
      <c r="M24" s="263"/>
      <c r="N24" s="263"/>
      <c r="O24" s="263"/>
      <c r="P24" s="263"/>
      <c r="Q24" s="263"/>
      <c r="R24" s="263"/>
      <c r="S24" s="263"/>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90" customHeight="1">
      <c r="A25" s="252" t="str">
        <f>IF(F10=0,"ซ่อนช่อง","จำเลยที่ 2")</f>
        <v>จำเลยที่ 2</v>
      </c>
      <c r="B25" s="252"/>
      <c r="C25" s="252"/>
      <c r="D25" s="252"/>
      <c r="E25" s="252"/>
      <c r="F25" s="252"/>
      <c r="G25" s="265" t="s">
        <v>235</v>
      </c>
      <c r="H25" s="265"/>
      <c r="I25" s="265"/>
      <c r="J25" s="265"/>
      <c r="K25" s="265"/>
      <c r="L25" s="265"/>
      <c r="M25" s="265"/>
      <c r="N25" s="265"/>
      <c r="O25" s="265"/>
      <c r="P25" s="265"/>
      <c r="Q25" s="265"/>
      <c r="R25" s="265"/>
      <c r="S25" s="265"/>
      <c r="T25" s="266" t="str">
        <f>VLOOKUP(A25,Sheet1!A11:G31,4,0)</f>
        <v>พบ</v>
      </c>
      <c r="U25" s="267"/>
      <c r="V25" s="267"/>
      <c r="W25" s="268"/>
      <c r="X25" s="269" t="str">
        <f>IF(OR(T25="ไม่พบ",T25="-"),"-",VLOOKUP(A25,Sheet1!A11:G31,5,0))</f>
        <v>โฉนดที่ดินเลขที่ 21092 ต.ท่ากว้าง อ.สารภี (ปลอดจำนอง)
โฉนดที่ดินเลขที่ 73403 ต.ไชยสถาน อ.สารภี (ติดจำนอง)</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2"/>
      <c r="B26" s="252"/>
      <c r="C26" s="252"/>
      <c r="D26" s="252"/>
      <c r="E26" s="252"/>
      <c r="F26" s="252"/>
      <c r="G26" s="263" t="s">
        <v>264</v>
      </c>
      <c r="H26" s="263"/>
      <c r="I26" s="263"/>
      <c r="J26" s="263"/>
      <c r="K26" s="263"/>
      <c r="L26" s="263"/>
      <c r="M26" s="263"/>
      <c r="N26" s="263"/>
      <c r="O26" s="263"/>
      <c r="P26" s="263"/>
      <c r="Q26" s="263"/>
      <c r="R26" s="263"/>
      <c r="S26" s="263"/>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8" customHeight="1">
      <c r="A27" s="252" t="str">
        <f>IF(Y10=0,"ซ่อนช่อง","คู่สมรสจำเลยที่ 2")</f>
        <v>คู่สมรสจำเลยที่ 2</v>
      </c>
      <c r="B27" s="252"/>
      <c r="C27" s="252"/>
      <c r="D27" s="252"/>
      <c r="E27" s="252"/>
      <c r="F27" s="252"/>
      <c r="G27" s="265" t="s">
        <v>235</v>
      </c>
      <c r="H27" s="265"/>
      <c r="I27" s="265"/>
      <c r="J27" s="265"/>
      <c r="K27" s="265"/>
      <c r="L27" s="265"/>
      <c r="M27" s="265"/>
      <c r="N27" s="265"/>
      <c r="O27" s="265"/>
      <c r="P27" s="265"/>
      <c r="Q27" s="265"/>
      <c r="R27" s="265"/>
      <c r="S27" s="265"/>
      <c r="T27" s="264" t="str">
        <f>VLOOKUP(A27,Sheet1!A11:G31,4,0)</f>
        <v>ไม่พบ</v>
      </c>
      <c r="U27" s="264"/>
      <c r="V27" s="264"/>
      <c r="W27" s="264"/>
      <c r="X27" s="262" t="str">
        <f>IF(OR(T27="ไม่พบ",T27="-"),"-",VLOOKUP(A27,Sheet1!A11:G31,5,0))</f>
        <v>-</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264</v>
      </c>
      <c r="H28" s="263"/>
      <c r="I28" s="263"/>
      <c r="J28" s="263"/>
      <c r="K28" s="263"/>
      <c r="L28" s="263"/>
      <c r="M28" s="263"/>
      <c r="N28" s="263"/>
      <c r="O28" s="263"/>
      <c r="P28" s="263"/>
      <c r="Q28" s="263"/>
      <c r="R28" s="263"/>
      <c r="S28" s="263"/>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235</v>
      </c>
      <c r="H29" s="263"/>
      <c r="I29" s="263"/>
      <c r="J29" s="263"/>
      <c r="K29" s="263"/>
      <c r="L29" s="263"/>
      <c r="M29" s="263"/>
      <c r="N29" s="263"/>
      <c r="O29" s="263"/>
      <c r="P29" s="263"/>
      <c r="Q29" s="263"/>
      <c r="R29" s="263"/>
      <c r="S29" s="263"/>
      <c r="T29" s="264" t="str">
        <f>VLOOKUP(A29,Sheet1!A11:G31,4,0)</f>
        <v>ไม่พบ</v>
      </c>
      <c r="U29" s="264"/>
      <c r="V29" s="264"/>
      <c r="W29" s="264"/>
      <c r="X29" s="262" t="str">
        <f>IF(OR(T29="ไม่พบ",T29="-"),"-",VLOOKUP(A29,Sheet1!A11:G31,5,0))</f>
        <v>-</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264</v>
      </c>
      <c r="H30" s="263"/>
      <c r="I30" s="263"/>
      <c r="J30" s="263"/>
      <c r="K30" s="263"/>
      <c r="L30" s="263"/>
      <c r="M30" s="263"/>
      <c r="N30" s="263"/>
      <c r="O30" s="263"/>
      <c r="P30" s="263"/>
      <c r="Q30" s="263"/>
      <c r="R30" s="263"/>
      <c r="S30" s="263"/>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235</v>
      </c>
      <c r="H31" s="263"/>
      <c r="I31" s="263"/>
      <c r="J31" s="263"/>
      <c r="K31" s="263"/>
      <c r="L31" s="263"/>
      <c r="M31" s="263"/>
      <c r="N31" s="263"/>
      <c r="O31" s="263"/>
      <c r="P31" s="263"/>
      <c r="Q31" s="263"/>
      <c r="R31" s="263"/>
      <c r="S31" s="263"/>
      <c r="T31" s="264" t="str">
        <f>VLOOKUP(A31,Sheet1!A11:G31,4,0)</f>
        <v>-</v>
      </c>
      <c r="U31" s="264"/>
      <c r="V31" s="264"/>
      <c r="W31" s="264"/>
      <c r="X31" s="262" t="str">
        <f>IF(OR(T31="ไม่พบ",T31="-"),"-",VLOOKUP(A31,Sheet1!A11:G31,5,0))</f>
        <v>-</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264</v>
      </c>
      <c r="H32" s="263"/>
      <c r="I32" s="263"/>
      <c r="J32" s="263"/>
      <c r="K32" s="263"/>
      <c r="L32" s="263"/>
      <c r="M32" s="263"/>
      <c r="N32" s="263"/>
      <c r="O32" s="263"/>
      <c r="P32" s="263"/>
      <c r="Q32" s="263"/>
      <c r="R32" s="263"/>
      <c r="S32" s="263"/>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2" t="str">
        <f>IF(F12=0,"ซ่อนช่อง","จำเลยที่ 4")</f>
        <v>ซ่อนช่อง</v>
      </c>
      <c r="B33" s="273"/>
      <c r="C33" s="273"/>
      <c r="D33" s="273"/>
      <c r="E33" s="273"/>
      <c r="F33" s="274"/>
      <c r="G33" s="263" t="s">
        <v>235</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5"/>
      <c r="B34" s="276"/>
      <c r="C34" s="276"/>
      <c r="D34" s="276"/>
      <c r="E34" s="276"/>
      <c r="F34" s="277"/>
      <c r="G34" s="263" t="s">
        <v>264</v>
      </c>
      <c r="H34" s="263"/>
      <c r="I34" s="263"/>
      <c r="J34" s="263"/>
      <c r="K34" s="263"/>
      <c r="L34" s="263"/>
      <c r="M34" s="263"/>
      <c r="N34" s="263"/>
      <c r="O34" s="263"/>
      <c r="P34" s="263"/>
      <c r="Q34" s="263"/>
      <c r="R34" s="263"/>
      <c r="S34" s="263"/>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235</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264</v>
      </c>
      <c r="H36" s="263"/>
      <c r="I36" s="263"/>
      <c r="J36" s="263"/>
      <c r="K36" s="263"/>
      <c r="L36" s="263"/>
      <c r="M36" s="263"/>
      <c r="N36" s="263"/>
      <c r="O36" s="263"/>
      <c r="P36" s="263"/>
      <c r="Q36" s="263"/>
      <c r="R36" s="263"/>
      <c r="S36" s="263"/>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235</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264</v>
      </c>
      <c r="H38" s="263"/>
      <c r="I38" s="263"/>
      <c r="J38" s="263"/>
      <c r="K38" s="263"/>
      <c r="L38" s="263"/>
      <c r="M38" s="263"/>
      <c r="N38" s="263"/>
      <c r="O38" s="263"/>
      <c r="P38" s="263"/>
      <c r="Q38" s="263"/>
      <c r="R38" s="263"/>
      <c r="S38" s="263"/>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235</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264</v>
      </c>
      <c r="H40" s="263"/>
      <c r="I40" s="263"/>
      <c r="J40" s="263"/>
      <c r="K40" s="263"/>
      <c r="L40" s="263"/>
      <c r="M40" s="263"/>
      <c r="N40" s="263"/>
      <c r="O40" s="263"/>
      <c r="P40" s="263"/>
      <c r="Q40" s="263"/>
      <c r="R40" s="263"/>
      <c r="S40" s="263"/>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235</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264</v>
      </c>
      <c r="H42" s="263"/>
      <c r="I42" s="263"/>
      <c r="J42" s="263"/>
      <c r="K42" s="263"/>
      <c r="L42" s="263"/>
      <c r="M42" s="263"/>
      <c r="N42" s="263"/>
      <c r="O42" s="263"/>
      <c r="P42" s="263"/>
      <c r="Q42" s="263"/>
      <c r="R42" s="263"/>
      <c r="S42" s="263"/>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235</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264</v>
      </c>
      <c r="H44" s="263"/>
      <c r="I44" s="263"/>
      <c r="J44" s="263"/>
      <c r="K44" s="263"/>
      <c r="L44" s="263"/>
      <c r="M44" s="263"/>
      <c r="N44" s="263"/>
      <c r="O44" s="263"/>
      <c r="P44" s="263"/>
      <c r="Q44" s="263"/>
      <c r="R44" s="263"/>
      <c r="S44" s="263"/>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235</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264</v>
      </c>
      <c r="H46" s="263"/>
      <c r="I46" s="263"/>
      <c r="J46" s="263"/>
      <c r="K46" s="263"/>
      <c r="L46" s="263"/>
      <c r="M46" s="263"/>
      <c r="N46" s="263"/>
      <c r="O46" s="263"/>
      <c r="P46" s="263"/>
      <c r="Q46" s="263"/>
      <c r="R46" s="263"/>
      <c r="S46" s="263"/>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235</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264</v>
      </c>
      <c r="H48" s="263"/>
      <c r="I48" s="263"/>
      <c r="J48" s="263"/>
      <c r="K48" s="263"/>
      <c r="L48" s="263"/>
      <c r="M48" s="263"/>
      <c r="N48" s="263"/>
      <c r="O48" s="263"/>
      <c r="P48" s="263"/>
      <c r="Q48" s="263"/>
      <c r="R48" s="263"/>
      <c r="S48" s="263"/>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63" t="s">
        <v>235</v>
      </c>
      <c r="H49" s="263"/>
      <c r="I49" s="263"/>
      <c r="J49" s="263"/>
      <c r="K49" s="263"/>
      <c r="L49" s="263"/>
      <c r="M49" s="263"/>
      <c r="N49" s="263"/>
      <c r="O49" s="263"/>
      <c r="P49" s="263"/>
      <c r="Q49" s="263"/>
      <c r="R49" s="263"/>
      <c r="S49" s="263"/>
      <c r="T49" s="264" t="e">
        <f>VLOOKUP(A49,Sheet1!A11:G31,4,0)</f>
        <v>#N/A</v>
      </c>
      <c r="U49" s="264"/>
      <c r="V49" s="264"/>
      <c r="W49" s="264"/>
      <c r="X49" s="262" t="e">
        <f>IF(OR(T49="ไม่พบ",T49="-"),"-",VLOOKUP(A49,Sheet1!A11:G31,5,0))</f>
        <v>#N/A</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264</v>
      </c>
      <c r="H50" s="263"/>
      <c r="I50" s="263"/>
      <c r="J50" s="263"/>
      <c r="K50" s="263"/>
      <c r="L50" s="263"/>
      <c r="M50" s="263"/>
      <c r="N50" s="263"/>
      <c r="O50" s="263"/>
      <c r="P50" s="263"/>
      <c r="Q50" s="263"/>
      <c r="R50" s="263"/>
      <c r="S50" s="263"/>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235</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264</v>
      </c>
      <c r="H52" s="263"/>
      <c r="I52" s="263"/>
      <c r="J52" s="263"/>
      <c r="K52" s="263"/>
      <c r="L52" s="263"/>
      <c r="M52" s="263"/>
      <c r="N52" s="263"/>
      <c r="O52" s="263"/>
      <c r="P52" s="263"/>
      <c r="Q52" s="263"/>
      <c r="R52" s="263"/>
      <c r="S52" s="263"/>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235</v>
      </c>
      <c r="H53" s="263"/>
      <c r="I53" s="263"/>
      <c r="J53" s="263"/>
      <c r="K53" s="263"/>
      <c r="L53" s="263"/>
      <c r="M53" s="263"/>
      <c r="N53" s="263"/>
      <c r="O53" s="263"/>
      <c r="P53" s="263"/>
      <c r="Q53" s="263"/>
      <c r="R53" s="263"/>
      <c r="S53" s="263"/>
      <c r="T53" s="252" t="e">
        <f>VLOOKUP(A53,Sheet1!A11:G31,4,0)</f>
        <v>#N/A</v>
      </c>
      <c r="U53" s="252"/>
      <c r="V53" s="252"/>
      <c r="W53" s="252"/>
      <c r="X53" s="278" t="e">
        <f>VLOOKUP(A53,Sheet1!A11:G31,5,0)</f>
        <v>#N/A</v>
      </c>
      <c r="Y53" s="278"/>
      <c r="Z53" s="278"/>
      <c r="AA53" s="278"/>
      <c r="AB53" s="278"/>
      <c r="AC53" s="278"/>
      <c r="AD53" s="278"/>
      <c r="AE53" s="278"/>
      <c r="AF53" s="278"/>
      <c r="AG53" s="278"/>
      <c r="AH53" s="278"/>
      <c r="AI53" s="278"/>
      <c r="AJ53" s="278"/>
      <c r="AK53" s="138"/>
      <c r="AL53" s="138"/>
      <c r="AM53" s="138"/>
      <c r="AN53" s="138"/>
      <c r="AO53" s="138"/>
      <c r="AP53" s="138"/>
      <c r="AQ53" s="138"/>
    </row>
    <row r="54" spans="1:43" ht="21.75" hidden="1" customHeight="1">
      <c r="A54" s="252"/>
      <c r="B54" s="252"/>
      <c r="C54" s="252"/>
      <c r="D54" s="252"/>
      <c r="E54" s="252"/>
      <c r="F54" s="252"/>
      <c r="G54" s="263" t="s">
        <v>264</v>
      </c>
      <c r="H54" s="263"/>
      <c r="I54" s="263"/>
      <c r="J54" s="263"/>
      <c r="K54" s="263"/>
      <c r="L54" s="263"/>
      <c r="M54" s="263"/>
      <c r="N54" s="263"/>
      <c r="O54" s="263"/>
      <c r="P54" s="263"/>
      <c r="Q54" s="263"/>
      <c r="R54" s="263"/>
      <c r="S54" s="263"/>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235</v>
      </c>
      <c r="H55" s="263"/>
      <c r="I55" s="263"/>
      <c r="J55" s="263"/>
      <c r="K55" s="263"/>
      <c r="L55" s="263"/>
      <c r="M55" s="263"/>
      <c r="N55" s="263"/>
      <c r="O55" s="263"/>
      <c r="P55" s="263"/>
      <c r="Q55" s="263"/>
      <c r="R55" s="263"/>
      <c r="S55" s="263"/>
      <c r="T55" s="252" t="e">
        <f>VLOOKUP(A55,Sheet1!A11:G31,4,0)</f>
        <v>#N/A</v>
      </c>
      <c r="U55" s="252"/>
      <c r="V55" s="252"/>
      <c r="W55" s="252"/>
      <c r="X55" s="278" t="e">
        <f>VLOOKUP(A55,Sheet1!A11:G31,5,0)</f>
        <v>#N/A</v>
      </c>
      <c r="Y55" s="278"/>
      <c r="Z55" s="278"/>
      <c r="AA55" s="278"/>
      <c r="AB55" s="278"/>
      <c r="AC55" s="278"/>
      <c r="AD55" s="278"/>
      <c r="AE55" s="278"/>
      <c r="AF55" s="278"/>
      <c r="AG55" s="278"/>
      <c r="AH55" s="278"/>
      <c r="AI55" s="278"/>
      <c r="AJ55" s="278"/>
      <c r="AK55" s="138"/>
      <c r="AL55" s="138"/>
      <c r="AM55" s="138"/>
      <c r="AN55" s="138"/>
      <c r="AO55" s="138"/>
      <c r="AP55" s="138"/>
      <c r="AQ55" s="138"/>
    </row>
    <row r="56" spans="1:43" ht="21.75" hidden="1" customHeight="1">
      <c r="A56" s="252"/>
      <c r="B56" s="252"/>
      <c r="C56" s="252"/>
      <c r="D56" s="252"/>
      <c r="E56" s="252"/>
      <c r="F56" s="252"/>
      <c r="G56" s="263" t="s">
        <v>264</v>
      </c>
      <c r="H56" s="263"/>
      <c r="I56" s="263"/>
      <c r="J56" s="263"/>
      <c r="K56" s="263"/>
      <c r="L56" s="263"/>
      <c r="M56" s="263"/>
      <c r="N56" s="263"/>
      <c r="O56" s="263"/>
      <c r="P56" s="263"/>
      <c r="Q56" s="263"/>
      <c r="R56" s="263"/>
      <c r="S56" s="263"/>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235</v>
      </c>
      <c r="H57" s="263"/>
      <c r="I57" s="263"/>
      <c r="J57" s="263"/>
      <c r="K57" s="263"/>
      <c r="L57" s="263"/>
      <c r="M57" s="263"/>
      <c r="N57" s="263"/>
      <c r="O57" s="263"/>
      <c r="P57" s="263"/>
      <c r="Q57" s="263"/>
      <c r="R57" s="263"/>
      <c r="S57" s="263"/>
      <c r="T57" s="252" t="e">
        <f>VLOOKUP(A57,Sheet1!A11:G31,4,0)</f>
        <v>#N/A</v>
      </c>
      <c r="U57" s="252"/>
      <c r="V57" s="252"/>
      <c r="W57" s="252"/>
      <c r="X57" s="278" t="e">
        <f>VLOOKUP(A57,Sheet1!A11:G31,5,0)</f>
        <v>#N/A</v>
      </c>
      <c r="Y57" s="278"/>
      <c r="Z57" s="278"/>
      <c r="AA57" s="278"/>
      <c r="AB57" s="278"/>
      <c r="AC57" s="278"/>
      <c r="AD57" s="278"/>
      <c r="AE57" s="278"/>
      <c r="AF57" s="278"/>
      <c r="AG57" s="278"/>
      <c r="AH57" s="278"/>
      <c r="AI57" s="278"/>
      <c r="AJ57" s="278"/>
      <c r="AK57" s="138"/>
      <c r="AL57" s="138"/>
      <c r="AM57" s="138"/>
      <c r="AN57" s="138"/>
      <c r="AO57" s="138"/>
      <c r="AP57" s="138"/>
      <c r="AQ57" s="138"/>
    </row>
    <row r="58" spans="1:43" ht="21.75" hidden="1" customHeight="1">
      <c r="A58" s="252"/>
      <c r="B58" s="252"/>
      <c r="C58" s="252"/>
      <c r="D58" s="252"/>
      <c r="E58" s="252"/>
      <c r="F58" s="252"/>
      <c r="G58" s="263" t="s">
        <v>264</v>
      </c>
      <c r="H58" s="263"/>
      <c r="I58" s="263"/>
      <c r="J58" s="263"/>
      <c r="K58" s="263"/>
      <c r="L58" s="263"/>
      <c r="M58" s="263"/>
      <c r="N58" s="263"/>
      <c r="O58" s="263"/>
      <c r="P58" s="263"/>
      <c r="Q58" s="263"/>
      <c r="R58" s="263"/>
      <c r="S58" s="263"/>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235</v>
      </c>
      <c r="H59" s="263"/>
      <c r="I59" s="263"/>
      <c r="J59" s="263"/>
      <c r="K59" s="263"/>
      <c r="L59" s="263"/>
      <c r="M59" s="263"/>
      <c r="N59" s="263"/>
      <c r="O59" s="263"/>
      <c r="P59" s="263"/>
      <c r="Q59" s="263"/>
      <c r="R59" s="263"/>
      <c r="S59" s="263"/>
      <c r="T59" s="252" t="e">
        <f>VLOOKUP(A59,Sheet1!A11:G31,4,0)</f>
        <v>#N/A</v>
      </c>
      <c r="U59" s="252"/>
      <c r="V59" s="252"/>
      <c r="W59" s="252"/>
      <c r="X59" s="278" t="e">
        <f>VLOOKUP(A59,Sheet1!A11:G31,5,0)</f>
        <v>#N/A</v>
      </c>
      <c r="Y59" s="278"/>
      <c r="Z59" s="278"/>
      <c r="AA59" s="278"/>
      <c r="AB59" s="278"/>
      <c r="AC59" s="278"/>
      <c r="AD59" s="278"/>
      <c r="AE59" s="278"/>
      <c r="AF59" s="278"/>
      <c r="AG59" s="278"/>
      <c r="AH59" s="278"/>
      <c r="AI59" s="278"/>
      <c r="AJ59" s="278"/>
      <c r="AK59" s="138"/>
      <c r="AL59" s="138"/>
      <c r="AM59" s="138"/>
      <c r="AN59" s="138"/>
      <c r="AO59" s="138"/>
      <c r="AP59" s="138"/>
      <c r="AQ59" s="138"/>
    </row>
    <row r="60" spans="1:43" ht="21.6" hidden="1" customHeight="1">
      <c r="A60" s="252"/>
      <c r="B60" s="252"/>
      <c r="C60" s="252"/>
      <c r="D60" s="252"/>
      <c r="E60" s="252"/>
      <c r="F60" s="252"/>
      <c r="G60" s="263" t="s">
        <v>264</v>
      </c>
      <c r="H60" s="263"/>
      <c r="I60" s="263"/>
      <c r="J60" s="263"/>
      <c r="K60" s="263"/>
      <c r="L60" s="263"/>
      <c r="M60" s="263"/>
      <c r="N60" s="263"/>
      <c r="O60" s="263"/>
      <c r="P60" s="263"/>
      <c r="Q60" s="263"/>
      <c r="R60" s="263"/>
      <c r="S60" s="263"/>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8" t="str">
        <f>IF(Sheet1!B33&lt;&gt;"","เห็นควรยึด","")</f>
        <v>เห็นควรยึด</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xml:space="preserve">โฉนดที่ดินเลขที่ 21092 หน้าสำรวจ 718 เลขที่ดิน 236 ต.ท่ากว้าง อ.สารภี จ.เชียงใหม่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ราคาประเมิน   บาท ไม่รวมสิ่งปลูกสร้าง</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8" t="s">
        <v>293</v>
      </c>
      <c r="AR1" s="198"/>
    </row>
    <row r="2" spans="1:48" ht="10.5" customHeight="1">
      <c r="S2" s="140"/>
      <c r="T2" s="140"/>
      <c r="U2" s="140"/>
      <c r="V2" s="140"/>
      <c r="W2" s="140"/>
      <c r="X2" s="140"/>
      <c r="Y2" s="140"/>
      <c r="AQ2" s="198"/>
      <c r="AR2" s="198"/>
    </row>
    <row r="3" spans="1:48">
      <c r="O3" s="2" t="s">
        <v>269</v>
      </c>
      <c r="Q3" s="188"/>
      <c r="R3" s="282" t="s">
        <v>270</v>
      </c>
      <c r="S3" s="282"/>
      <c r="T3" s="282"/>
      <c r="U3" s="282"/>
      <c r="V3" s="282"/>
      <c r="W3" s="282"/>
      <c r="X3" s="282"/>
      <c r="Y3" s="282"/>
      <c r="Z3" s="282"/>
      <c r="AA3" s="282"/>
      <c r="AB3" s="282"/>
      <c r="AC3" s="282"/>
      <c r="AD3" s="282"/>
    </row>
    <row r="4" spans="1:48">
      <c r="A4" s="281" t="s">
        <v>267</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271</v>
      </c>
      <c r="P5" s="255"/>
      <c r="Q5" s="255"/>
      <c r="R5" s="255"/>
      <c r="S5" s="255"/>
      <c r="T5" s="255"/>
      <c r="U5" s="255"/>
      <c r="V5" s="255"/>
      <c r="W5" s="255"/>
      <c r="X5" s="255"/>
      <c r="Y5" s="255"/>
      <c r="Z5" s="255"/>
      <c r="AA5" s="255"/>
      <c r="AB5" s="255"/>
      <c r="AC5" s="255"/>
      <c r="AD5" s="255"/>
      <c r="AE5" s="255"/>
    </row>
    <row r="6" spans="1:48">
      <c r="AC6" s="143" t="s">
        <v>268</v>
      </c>
      <c r="AD6" s="255" t="s">
        <v>338</v>
      </c>
      <c r="AE6" s="255"/>
      <c r="AF6" s="255"/>
      <c r="AG6" s="255"/>
      <c r="AH6" s="255"/>
      <c r="AI6" s="255"/>
      <c r="AJ6" s="255"/>
      <c r="AK6" s="255"/>
      <c r="AL6" s="255"/>
      <c r="AM6" s="255"/>
      <c r="AN6" s="255"/>
      <c r="AO6" s="255"/>
      <c r="AP6" s="255"/>
      <c r="AQ6" s="255"/>
      <c r="AR6" s="140"/>
    </row>
    <row r="7" spans="1:48">
      <c r="X7" s="143" t="s">
        <v>62</v>
      </c>
      <c r="Y7" s="255"/>
      <c r="Z7" s="255"/>
      <c r="AA7" s="281" t="s">
        <v>272</v>
      </c>
      <c r="AB7" s="281"/>
      <c r="AC7" s="281"/>
      <c r="AD7" s="256"/>
      <c r="AE7" s="256"/>
      <c r="AF7" s="256"/>
      <c r="AG7" s="256"/>
      <c r="AH7" s="256"/>
      <c r="AI7" s="256"/>
      <c r="AJ7" s="284" t="s">
        <v>273</v>
      </c>
      <c r="AK7" s="284"/>
      <c r="AL7" s="284"/>
      <c r="AM7" s="284"/>
      <c r="AN7" s="284"/>
      <c r="AO7" s="256">
        <v>2567</v>
      </c>
      <c r="AP7" s="256"/>
      <c r="AQ7" s="256"/>
      <c r="AR7" s="140"/>
    </row>
    <row r="8" spans="1:48">
      <c r="D8" s="2" t="s">
        <v>274</v>
      </c>
      <c r="G8" s="260" t="s">
        <v>275</v>
      </c>
      <c r="H8" s="260"/>
      <c r="I8" s="260"/>
      <c r="J8" s="260"/>
      <c r="K8" s="260"/>
      <c r="L8" s="260"/>
      <c r="M8" s="260"/>
      <c r="N8" s="260"/>
      <c r="O8" s="260"/>
      <c r="P8" s="260"/>
      <c r="Q8" s="260"/>
      <c r="R8" s="260"/>
      <c r="S8" s="260"/>
      <c r="T8" s="260"/>
      <c r="U8" s="260"/>
      <c r="V8" s="260"/>
      <c r="W8" s="260"/>
      <c r="X8" s="260"/>
      <c r="Y8" s="260"/>
      <c r="Z8" s="260"/>
      <c r="AA8" s="260"/>
      <c r="AB8" s="281" t="s">
        <v>276</v>
      </c>
      <c r="AC8" s="281"/>
      <c r="AD8" s="281"/>
      <c r="AE8" s="281"/>
      <c r="AF8" s="255">
        <f>Sheet1!D8</f>
        <v>42</v>
      </c>
      <c r="AG8" s="255"/>
      <c r="AH8" s="255"/>
      <c r="AI8" s="255"/>
      <c r="AL8" s="143" t="s">
        <v>277</v>
      </c>
      <c r="AM8" s="255" t="s">
        <v>278</v>
      </c>
      <c r="AN8" s="255"/>
      <c r="AO8" s="255"/>
      <c r="AP8" s="255"/>
      <c r="AQ8" s="255"/>
      <c r="AR8" s="140"/>
    </row>
    <row r="9" spans="1:48">
      <c r="H9" s="2" t="str">
        <f>CONCATENATE("( โดย ",Sheet1!B8," (",TEXT(Sheet1!F8,"[$-,100]0-0000-00000-00-0"),") แทน )")</f>
        <v>( โดย นายอัครชัย จันทร์ขอนแก่น (3-5603-00285-73-6) แทน )</v>
      </c>
      <c r="I9" s="189"/>
      <c r="J9" s="189"/>
    </row>
    <row r="10" spans="1:48">
      <c r="A10" s="281" t="s">
        <v>281</v>
      </c>
      <c r="B10" s="281"/>
      <c r="C10" s="281"/>
      <c r="D10" s="255" t="s">
        <v>278</v>
      </c>
      <c r="E10" s="255"/>
      <c r="F10" s="255"/>
      <c r="G10" s="255"/>
      <c r="H10" s="255"/>
      <c r="I10" s="281" t="s">
        <v>283</v>
      </c>
      <c r="J10" s="281"/>
      <c r="K10" s="281"/>
      <c r="L10" s="281"/>
      <c r="M10" s="281"/>
      <c r="N10" s="255">
        <v>470</v>
      </c>
      <c r="O10" s="255"/>
      <c r="P10" s="255"/>
      <c r="Q10" s="255"/>
      <c r="R10" s="281" t="s">
        <v>284</v>
      </c>
      <c r="S10" s="281"/>
      <c r="T10" s="255" t="s">
        <v>152</v>
      </c>
      <c r="U10" s="255"/>
      <c r="V10" s="255"/>
      <c r="W10" s="255"/>
      <c r="X10" s="281" t="s">
        <v>285</v>
      </c>
      <c r="Y10" s="281"/>
      <c r="Z10" s="255" t="s">
        <v>287</v>
      </c>
      <c r="AA10" s="255"/>
      <c r="AB10" s="255"/>
      <c r="AC10" s="255"/>
      <c r="AD10" s="255"/>
      <c r="AE10" s="255"/>
      <c r="AF10" s="255"/>
      <c r="AG10" s="255"/>
      <c r="AH10" s="281" t="s">
        <v>286</v>
      </c>
      <c r="AI10" s="281"/>
      <c r="AJ10" s="281"/>
      <c r="AK10" s="281"/>
      <c r="AL10" s="255" t="s">
        <v>152</v>
      </c>
      <c r="AM10" s="255"/>
      <c r="AN10" s="255"/>
      <c r="AO10" s="255"/>
      <c r="AP10" s="255"/>
      <c r="AQ10" s="255"/>
      <c r="AR10" s="140"/>
    </row>
    <row r="11" spans="1:48">
      <c r="A11" s="2" t="s">
        <v>282</v>
      </c>
      <c r="F11" s="255" t="s">
        <v>290</v>
      </c>
      <c r="G11" s="255"/>
      <c r="H11" s="255"/>
      <c r="I11" s="255"/>
      <c r="J11" s="255"/>
      <c r="K11" s="255"/>
      <c r="L11" s="281" t="s">
        <v>288</v>
      </c>
      <c r="M11" s="281"/>
      <c r="N11" s="281"/>
      <c r="O11" s="281"/>
      <c r="P11" s="255" t="s">
        <v>349</v>
      </c>
      <c r="Q11" s="255"/>
      <c r="R11" s="255"/>
      <c r="S11" s="255"/>
      <c r="T11" s="255"/>
      <c r="U11" s="255"/>
      <c r="V11" s="255"/>
      <c r="W11" s="255"/>
      <c r="X11" s="281" t="s">
        <v>289</v>
      </c>
      <c r="Y11" s="281"/>
      <c r="Z11" s="281"/>
      <c r="AA11" s="256" t="s">
        <v>294</v>
      </c>
      <c r="AB11" s="256"/>
      <c r="AC11" s="256"/>
      <c r="AD11" s="256"/>
      <c r="AE11" s="256"/>
      <c r="AF11" s="256"/>
      <c r="AG11" s="256"/>
      <c r="AH11" s="281" t="s">
        <v>291</v>
      </c>
      <c r="AI11" s="281"/>
      <c r="AJ11" s="255" t="s">
        <v>295</v>
      </c>
      <c r="AK11" s="255"/>
      <c r="AL11" s="255"/>
      <c r="AM11" s="255"/>
      <c r="AN11" s="255"/>
      <c r="AO11" s="255"/>
      <c r="AP11" s="255"/>
      <c r="AQ11" s="255"/>
      <c r="AR11" s="140"/>
    </row>
    <row r="12" spans="1:48">
      <c r="A12" s="283"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3"/>
      <c r="C12" s="283"/>
      <c r="D12" s="283"/>
      <c r="E12" s="283"/>
      <c r="F12" s="283"/>
      <c r="G12" s="283"/>
      <c r="H12" s="283"/>
      <c r="I12" s="283"/>
      <c r="J12" s="283"/>
      <c r="K12" s="283"/>
      <c r="L12" s="283"/>
      <c r="M12" s="283"/>
      <c r="N12" s="283"/>
      <c r="O12" s="283"/>
      <c r="P12" s="283"/>
      <c r="Q12" s="283"/>
      <c r="R12" s="283"/>
      <c r="S12" s="283"/>
      <c r="T12" s="283"/>
      <c r="U12" s="283"/>
      <c r="V12" s="283"/>
      <c r="W12" s="283"/>
      <c r="X12" s="283"/>
      <c r="Y12" s="283"/>
      <c r="Z12" s="283"/>
      <c r="AA12" s="283"/>
      <c r="AB12" s="283"/>
      <c r="AC12" s="283"/>
      <c r="AD12" s="283"/>
      <c r="AE12" s="283"/>
      <c r="AF12" s="283"/>
      <c r="AG12" s="283"/>
      <c r="AH12" s="283"/>
      <c r="AI12" s="283"/>
      <c r="AJ12" s="283"/>
      <c r="AK12" s="283"/>
      <c r="AL12" s="283"/>
      <c r="AM12" s="283"/>
      <c r="AN12" s="283"/>
      <c r="AO12" s="283"/>
      <c r="AP12" s="283"/>
      <c r="AQ12" s="283"/>
      <c r="AR12" s="187"/>
      <c r="AS12" s="196" t="s">
        <v>268</v>
      </c>
    </row>
    <row r="13" spans="1:48">
      <c r="A13" s="283"/>
      <c r="B13" s="283"/>
      <c r="C13" s="283"/>
      <c r="D13" s="283"/>
      <c r="E13" s="283"/>
      <c r="F13" s="283"/>
      <c r="G13" s="283"/>
      <c r="H13" s="283"/>
      <c r="I13" s="283"/>
      <c r="J13" s="283"/>
      <c r="K13" s="283"/>
      <c r="L13" s="283"/>
      <c r="M13" s="283"/>
      <c r="N13" s="283"/>
      <c r="O13" s="283"/>
      <c r="P13" s="283"/>
      <c r="Q13" s="283"/>
      <c r="R13" s="283"/>
      <c r="S13" s="283"/>
      <c r="T13" s="283"/>
      <c r="U13" s="283"/>
      <c r="V13" s="283"/>
      <c r="W13" s="283"/>
      <c r="X13" s="283"/>
      <c r="Y13" s="283"/>
      <c r="Z13" s="283"/>
      <c r="AA13" s="283"/>
      <c r="AB13" s="283"/>
      <c r="AC13" s="283"/>
      <c r="AD13" s="283"/>
      <c r="AE13" s="283"/>
      <c r="AF13" s="283"/>
      <c r="AG13" s="283"/>
      <c r="AH13" s="283"/>
      <c r="AI13" s="283"/>
      <c r="AJ13" s="283"/>
      <c r="AK13" s="283"/>
      <c r="AL13" s="283"/>
      <c r="AM13" s="283"/>
      <c r="AN13" s="283"/>
      <c r="AO13" s="283"/>
      <c r="AP13" s="283"/>
      <c r="AQ13" s="283"/>
      <c r="AR13" s="187"/>
      <c r="AS13" s="287" t="s">
        <v>339</v>
      </c>
      <c r="AT13" s="288"/>
    </row>
    <row r="14" spans="1:48">
      <c r="A14" s="283"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ตามคำพิพากษาของศาลศาลแขวงเชียงใหม่ ในคดีหมายเลขดำที่ ผบE1889/2566 ในคดีหมายเลขแดงที่  ผบE3415/2566 ลว.19 พฤษภาคม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3"/>
      <c r="C14" s="283"/>
      <c r="D14" s="283"/>
      <c r="E14" s="283"/>
      <c r="F14" s="283"/>
      <c r="G14" s="283"/>
      <c r="H14" s="283"/>
      <c r="I14" s="283"/>
      <c r="J14" s="283"/>
      <c r="K14" s="283"/>
      <c r="L14" s="283"/>
      <c r="M14" s="283"/>
      <c r="N14" s="283"/>
      <c r="O14" s="283"/>
      <c r="P14" s="283"/>
      <c r="Q14" s="283"/>
      <c r="R14" s="283"/>
      <c r="S14" s="283"/>
      <c r="T14" s="283"/>
      <c r="U14" s="283"/>
      <c r="V14" s="283"/>
      <c r="W14" s="283"/>
      <c r="X14" s="283"/>
      <c r="Y14" s="283"/>
      <c r="Z14" s="283"/>
      <c r="AA14" s="283"/>
      <c r="AB14" s="283"/>
      <c r="AC14" s="283"/>
      <c r="AD14" s="283"/>
      <c r="AE14" s="283"/>
      <c r="AF14" s="283"/>
      <c r="AG14" s="283"/>
      <c r="AH14" s="283"/>
      <c r="AI14" s="283"/>
      <c r="AJ14" s="283"/>
      <c r="AK14" s="283"/>
      <c r="AL14" s="283"/>
      <c r="AM14" s="283"/>
      <c r="AN14" s="283"/>
      <c r="AO14" s="283"/>
      <c r="AP14" s="283"/>
      <c r="AQ14" s="283"/>
      <c r="AR14" s="187"/>
    </row>
    <row r="15" spans="1:48">
      <c r="A15" s="283"/>
      <c r="B15" s="283"/>
      <c r="C15" s="283"/>
      <c r="D15" s="283"/>
      <c r="E15" s="283"/>
      <c r="F15" s="283"/>
      <c r="G15" s="283"/>
      <c r="H15" s="283"/>
      <c r="I15" s="283"/>
      <c r="J15" s="283"/>
      <c r="K15" s="283"/>
      <c r="L15" s="283"/>
      <c r="M15" s="283"/>
      <c r="N15" s="283"/>
      <c r="O15" s="283"/>
      <c r="P15" s="283"/>
      <c r="Q15" s="283"/>
      <c r="R15" s="283"/>
      <c r="S15" s="283"/>
      <c r="T15" s="283"/>
      <c r="U15" s="283"/>
      <c r="V15" s="283"/>
      <c r="W15" s="283"/>
      <c r="X15" s="283"/>
      <c r="Y15" s="283"/>
      <c r="Z15" s="283"/>
      <c r="AA15" s="283"/>
      <c r="AB15" s="283"/>
      <c r="AC15" s="283"/>
      <c r="AD15" s="283"/>
      <c r="AE15" s="283"/>
      <c r="AF15" s="283"/>
      <c r="AG15" s="283"/>
      <c r="AH15" s="283"/>
      <c r="AI15" s="283"/>
      <c r="AJ15" s="283"/>
      <c r="AK15" s="283"/>
      <c r="AL15" s="283"/>
      <c r="AM15" s="283"/>
      <c r="AN15" s="283"/>
      <c r="AO15" s="283"/>
      <c r="AP15" s="283"/>
      <c r="AQ15" s="283"/>
      <c r="AR15" s="187"/>
    </row>
    <row r="16" spans="1:48">
      <c r="A16" s="283"/>
      <c r="B16" s="283"/>
      <c r="C16" s="283"/>
      <c r="D16" s="283"/>
      <c r="E16" s="283"/>
      <c r="F16" s="283"/>
      <c r="G16" s="283"/>
      <c r="H16" s="283"/>
      <c r="I16" s="283"/>
      <c r="J16" s="283"/>
      <c r="K16" s="283"/>
      <c r="L16" s="283"/>
      <c r="M16" s="283"/>
      <c r="N16" s="283"/>
      <c r="O16" s="283"/>
      <c r="P16" s="283"/>
      <c r="Q16" s="283"/>
      <c r="R16" s="283"/>
      <c r="S16" s="283"/>
      <c r="T16" s="283"/>
      <c r="U16" s="283"/>
      <c r="V16" s="283"/>
      <c r="W16" s="283"/>
      <c r="X16" s="283"/>
      <c r="Y16" s="283"/>
      <c r="Z16" s="283"/>
      <c r="AA16" s="283"/>
      <c r="AB16" s="283"/>
      <c r="AC16" s="283"/>
      <c r="AD16" s="283"/>
      <c r="AE16" s="283"/>
      <c r="AF16" s="283"/>
      <c r="AG16" s="283"/>
      <c r="AH16" s="283"/>
      <c r="AI16" s="283"/>
      <c r="AJ16" s="283"/>
      <c r="AK16" s="283"/>
      <c r="AL16" s="283"/>
      <c r="AM16" s="283"/>
      <c r="AN16" s="283"/>
      <c r="AO16" s="283"/>
      <c r="AP16" s="283"/>
      <c r="AQ16" s="283"/>
      <c r="AR16" s="187"/>
      <c r="AS16" s="172" t="s">
        <v>292</v>
      </c>
      <c r="AT16" s="217" t="s">
        <v>336</v>
      </c>
      <c r="AU16" s="216">
        <f>COUNTIF(C17:N32,"ซ่อนช่อง")</f>
        <v>14</v>
      </c>
      <c r="AV16" s="215" t="s">
        <v>337</v>
      </c>
    </row>
    <row r="17" spans="1:45">
      <c r="A17" s="188"/>
      <c r="B17" s="188"/>
      <c r="C17" s="257" t="str">
        <f>IF(AS17="","ซ่อนช่อง",CONCATENATE("1. ",VLOOKUP(AS17,Table1[#All],2,0)))</f>
        <v>1. นางสาวธิชาภรณ์ ทรายคำ</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t="str">
        <f>IF(AS17="","",VLOOKUP(AS17,Table1[#All],3,0))</f>
        <v>1-5099-00308-72-1</v>
      </c>
      <c r="AE17" s="289"/>
      <c r="AF17" s="289"/>
      <c r="AG17" s="289"/>
      <c r="AH17" s="289"/>
      <c r="AI17" s="289"/>
      <c r="AJ17" s="289"/>
      <c r="AK17" s="289"/>
      <c r="AL17" s="201"/>
      <c r="AM17" s="188"/>
      <c r="AN17" s="188"/>
      <c r="AO17" s="188"/>
      <c r="AP17" s="188"/>
      <c r="AQ17" s="188"/>
      <c r="AS17" s="197" t="s">
        <v>211</v>
      </c>
    </row>
    <row r="18" spans="1:45">
      <c r="A18" s="193"/>
      <c r="B18" s="193"/>
      <c r="C18" s="285" t="str">
        <f>IF(AS18="","ซ่อนช่อง",CONCATENATE("2. ",VLOOKUP(AS18,Table1[#All],2,0)))</f>
        <v>2. นายเกรียงศักดิ์ สุวรรณนิยม</v>
      </c>
      <c r="D18" s="285"/>
      <c r="E18" s="285"/>
      <c r="F18" s="285"/>
      <c r="G18" s="285"/>
      <c r="H18" s="285"/>
      <c r="I18" s="285"/>
      <c r="J18" s="285"/>
      <c r="K18" s="285"/>
      <c r="L18" s="285"/>
      <c r="M18" s="285"/>
      <c r="N18" s="285"/>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6" t="str">
        <f>IF(AS18="","",VLOOKUP(AS18,Table1[#All],3,0))</f>
        <v>3-5802-00029-37-1</v>
      </c>
      <c r="AE18" s="286"/>
      <c r="AF18" s="286"/>
      <c r="AG18" s="286"/>
      <c r="AH18" s="286"/>
      <c r="AI18" s="286"/>
      <c r="AJ18" s="286"/>
      <c r="AK18" s="286"/>
      <c r="AL18" s="195"/>
      <c r="AM18" s="193"/>
      <c r="AN18" s="193"/>
      <c r="AO18" s="193"/>
      <c r="AP18" s="193"/>
      <c r="AQ18" s="193"/>
      <c r="AS18" s="197" t="s">
        <v>214</v>
      </c>
    </row>
    <row r="19" spans="1:45" hidden="1">
      <c r="A19" s="193"/>
      <c r="B19" s="193"/>
      <c r="C19" s="285" t="str">
        <f>IF(AS19="","ซ่อนช่อง",CONCATENATE("3. ",VLOOKUP(AS19,Table1[#All],2,0)))</f>
        <v>ซ่อนช่อง</v>
      </c>
      <c r="D19" s="285"/>
      <c r="E19" s="285"/>
      <c r="F19" s="285"/>
      <c r="G19" s="285"/>
      <c r="H19" s="285"/>
      <c r="I19" s="285"/>
      <c r="J19" s="285"/>
      <c r="K19" s="285"/>
      <c r="L19" s="285"/>
      <c r="M19" s="285"/>
      <c r="N19" s="285"/>
      <c r="O19" s="194"/>
      <c r="P19" s="193" t="str">
        <f>IF(AS19="","",AS19)</f>
        <v/>
      </c>
      <c r="Q19" s="193"/>
      <c r="R19" s="193"/>
      <c r="S19" s="193"/>
      <c r="T19" s="193"/>
      <c r="U19" s="193"/>
      <c r="V19" s="193"/>
      <c r="W19" s="193" t="str">
        <f>IF(AS19="","","เลขบัตรประชาชน")</f>
        <v/>
      </c>
      <c r="X19" s="193"/>
      <c r="Y19" s="193"/>
      <c r="Z19" s="193"/>
      <c r="AA19" s="193"/>
      <c r="AB19" s="193"/>
      <c r="AC19" s="193"/>
      <c r="AD19" s="286" t="str">
        <f>IF(AS19="","",VLOOKUP(AS19,Table1[#All],3,0))</f>
        <v/>
      </c>
      <c r="AE19" s="286"/>
      <c r="AF19" s="286"/>
      <c r="AG19" s="286"/>
      <c r="AH19" s="286"/>
      <c r="AI19" s="286"/>
      <c r="AJ19" s="286"/>
      <c r="AK19" s="286"/>
      <c r="AL19" s="195"/>
      <c r="AM19" s="193"/>
      <c r="AN19" s="193"/>
      <c r="AO19" s="193"/>
      <c r="AP19" s="193"/>
      <c r="AQ19" s="193"/>
      <c r="AS19" s="197"/>
    </row>
    <row r="20" spans="1:45" hidden="1">
      <c r="A20" s="193"/>
      <c r="B20" s="193"/>
      <c r="C20" s="285" t="str">
        <f>IF(AS20="","ซ่อนช่อง",CONCATENATE("4. ",VLOOKUP(AS20,Table1[#All],2,0)))</f>
        <v>ซ่อนช่อง</v>
      </c>
      <c r="D20" s="285"/>
      <c r="E20" s="285"/>
      <c r="F20" s="285"/>
      <c r="G20" s="285"/>
      <c r="H20" s="285"/>
      <c r="I20" s="285"/>
      <c r="J20" s="285"/>
      <c r="K20" s="285"/>
      <c r="L20" s="285"/>
      <c r="M20" s="285"/>
      <c r="N20" s="285"/>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6" t="str">
        <f>IF(AS20="","",VLOOKUP(AS20,Table1[#All],3,0))</f>
        <v/>
      </c>
      <c r="AE20" s="286"/>
      <c r="AF20" s="286"/>
      <c r="AG20" s="286"/>
      <c r="AH20" s="286"/>
      <c r="AI20" s="286"/>
      <c r="AJ20" s="286"/>
      <c r="AK20" s="286"/>
      <c r="AL20" s="195"/>
      <c r="AM20" s="193"/>
      <c r="AN20" s="193"/>
      <c r="AO20" s="193"/>
      <c r="AP20" s="193"/>
      <c r="AQ20" s="193"/>
      <c r="AS20" s="197"/>
    </row>
    <row r="21" spans="1:45" hidden="1">
      <c r="A21" s="193"/>
      <c r="B21" s="193"/>
      <c r="C21" s="285" t="str">
        <f>IF(AS21="","ซ่อนช่อง",CONCATENATE("5. ",VLOOKUP(AS21,Table1[#All],2,0)))</f>
        <v>ซ่อนช่อง</v>
      </c>
      <c r="D21" s="285"/>
      <c r="E21" s="285"/>
      <c r="F21" s="285"/>
      <c r="G21" s="285"/>
      <c r="H21" s="285"/>
      <c r="I21" s="285"/>
      <c r="J21" s="285"/>
      <c r="K21" s="285"/>
      <c r="L21" s="285"/>
      <c r="M21" s="285"/>
      <c r="N21" s="285"/>
      <c r="O21" s="194"/>
      <c r="P21" s="193" t="str">
        <f t="shared" si="2"/>
        <v/>
      </c>
      <c r="Q21" s="193"/>
      <c r="R21" s="193"/>
      <c r="S21" s="193"/>
      <c r="T21" s="193"/>
      <c r="U21" s="193"/>
      <c r="V21" s="193"/>
      <c r="W21" s="193" t="str">
        <f t="shared" si="3"/>
        <v/>
      </c>
      <c r="X21" s="193"/>
      <c r="Y21" s="193"/>
      <c r="Z21" s="193"/>
      <c r="AA21" s="193"/>
      <c r="AB21" s="193"/>
      <c r="AC21" s="193"/>
      <c r="AD21" s="286" t="str">
        <f>IF(AS21="","",VLOOKUP(AS21,Table1[#All],3,0))</f>
        <v/>
      </c>
      <c r="AE21" s="286"/>
      <c r="AF21" s="286"/>
      <c r="AG21" s="286"/>
      <c r="AH21" s="286"/>
      <c r="AI21" s="286"/>
      <c r="AJ21" s="286"/>
      <c r="AK21" s="286"/>
      <c r="AL21" s="195"/>
      <c r="AM21" s="193"/>
      <c r="AN21" s="193"/>
      <c r="AO21" s="193"/>
      <c r="AP21" s="193"/>
      <c r="AQ21" s="193"/>
      <c r="AS21" s="197"/>
    </row>
    <row r="22" spans="1:45" hidden="1">
      <c r="A22" s="193"/>
      <c r="B22" s="193"/>
      <c r="C22" s="285" t="str">
        <f>IF(AS22="","ซ่อนช่อง",CONCATENATE("6. ",VLOOKUP(AS22,Table1[#All],2,0)))</f>
        <v>ซ่อนช่อง</v>
      </c>
      <c r="D22" s="285"/>
      <c r="E22" s="285"/>
      <c r="F22" s="285"/>
      <c r="G22" s="285"/>
      <c r="H22" s="285"/>
      <c r="I22" s="285"/>
      <c r="J22" s="285"/>
      <c r="K22" s="285"/>
      <c r="L22" s="285"/>
      <c r="M22" s="285"/>
      <c r="N22" s="285"/>
      <c r="O22" s="194"/>
      <c r="P22" s="193" t="str">
        <f t="shared" si="2"/>
        <v/>
      </c>
      <c r="Q22" s="193"/>
      <c r="R22" s="193"/>
      <c r="S22" s="193"/>
      <c r="T22" s="193"/>
      <c r="U22" s="193"/>
      <c r="V22" s="193"/>
      <c r="W22" s="193" t="str">
        <f t="shared" si="3"/>
        <v/>
      </c>
      <c r="X22" s="193"/>
      <c r="Y22" s="193"/>
      <c r="Z22" s="193"/>
      <c r="AA22" s="193"/>
      <c r="AB22" s="193"/>
      <c r="AC22" s="193"/>
      <c r="AD22" s="286" t="str">
        <f>IF(AS22="","",VLOOKUP(AS22,Table1[#All],3,0))</f>
        <v/>
      </c>
      <c r="AE22" s="286"/>
      <c r="AF22" s="286"/>
      <c r="AG22" s="286"/>
      <c r="AH22" s="286"/>
      <c r="AI22" s="286"/>
      <c r="AJ22" s="286"/>
      <c r="AK22" s="286"/>
      <c r="AL22" s="195"/>
      <c r="AM22" s="193"/>
      <c r="AN22" s="193"/>
      <c r="AO22" s="193"/>
      <c r="AP22" s="193"/>
      <c r="AQ22" s="193"/>
      <c r="AS22" s="197"/>
    </row>
    <row r="23" spans="1:45" hidden="1">
      <c r="A23" s="193"/>
      <c r="B23" s="193"/>
      <c r="C23" s="285" t="str">
        <f>IF(AS23="","ซ่อนช่อง",CONCATENATE("7. ",VLOOKUP(AS23,Table1[#All],2,0)))</f>
        <v>ซ่อนช่อง</v>
      </c>
      <c r="D23" s="285"/>
      <c r="E23" s="285"/>
      <c r="F23" s="285"/>
      <c r="G23" s="285"/>
      <c r="H23" s="285"/>
      <c r="I23" s="285"/>
      <c r="J23" s="285"/>
      <c r="K23" s="285"/>
      <c r="L23" s="285"/>
      <c r="M23" s="285"/>
      <c r="N23" s="285"/>
      <c r="O23" s="194"/>
      <c r="P23" s="193" t="str">
        <f t="shared" si="2"/>
        <v/>
      </c>
      <c r="Q23" s="193"/>
      <c r="R23" s="193"/>
      <c r="S23" s="193"/>
      <c r="T23" s="193"/>
      <c r="U23" s="193"/>
      <c r="V23" s="193"/>
      <c r="W23" s="193" t="str">
        <f t="shared" si="3"/>
        <v/>
      </c>
      <c r="X23" s="193"/>
      <c r="Y23" s="193"/>
      <c r="Z23" s="193"/>
      <c r="AA23" s="193"/>
      <c r="AB23" s="193"/>
      <c r="AC23" s="193"/>
      <c r="AD23" s="286" t="str">
        <f>IF(AS23="","",VLOOKUP(AS23,Table1[#All],3,0))</f>
        <v/>
      </c>
      <c r="AE23" s="286"/>
      <c r="AF23" s="286"/>
      <c r="AG23" s="286"/>
      <c r="AH23" s="286"/>
      <c r="AI23" s="286"/>
      <c r="AJ23" s="286"/>
      <c r="AK23" s="286"/>
      <c r="AL23" s="195"/>
      <c r="AM23" s="193"/>
      <c r="AN23" s="193"/>
      <c r="AO23" s="193"/>
      <c r="AP23" s="193"/>
      <c r="AQ23" s="193"/>
      <c r="AS23" s="197"/>
    </row>
    <row r="24" spans="1:45" hidden="1">
      <c r="A24" s="193"/>
      <c r="B24" s="193"/>
      <c r="C24" s="285" t="str">
        <f>IF(AS24="","ซ่อนช่อง",CONCATENATE("8. ",VLOOKUP(AS24,Table1[#All],2,0)))</f>
        <v>ซ่อนช่อง</v>
      </c>
      <c r="D24" s="285"/>
      <c r="E24" s="285"/>
      <c r="F24" s="285"/>
      <c r="G24" s="285"/>
      <c r="H24" s="285"/>
      <c r="I24" s="285"/>
      <c r="J24" s="285"/>
      <c r="K24" s="285"/>
      <c r="L24" s="285"/>
      <c r="M24" s="285"/>
      <c r="N24" s="285"/>
      <c r="O24" s="194"/>
      <c r="P24" s="193" t="str">
        <f t="shared" si="2"/>
        <v/>
      </c>
      <c r="Q24" s="193"/>
      <c r="R24" s="193"/>
      <c r="S24" s="193"/>
      <c r="T24" s="193"/>
      <c r="U24" s="193"/>
      <c r="V24" s="193"/>
      <c r="W24" s="193" t="str">
        <f t="shared" si="3"/>
        <v/>
      </c>
      <c r="X24" s="193"/>
      <c r="Y24" s="193"/>
      <c r="Z24" s="193"/>
      <c r="AA24" s="193"/>
      <c r="AB24" s="193"/>
      <c r="AC24" s="193"/>
      <c r="AD24" s="286" t="str">
        <f>IF(AS24="","",VLOOKUP(AS24,Table1[#All],3,0))</f>
        <v/>
      </c>
      <c r="AE24" s="286"/>
      <c r="AF24" s="286"/>
      <c r="AG24" s="286"/>
      <c r="AH24" s="286"/>
      <c r="AI24" s="286"/>
      <c r="AJ24" s="286"/>
      <c r="AK24" s="286"/>
      <c r="AL24" s="195"/>
      <c r="AM24" s="193"/>
      <c r="AN24" s="193"/>
      <c r="AO24" s="193"/>
      <c r="AP24" s="193"/>
      <c r="AQ24" s="193"/>
      <c r="AS24" s="197"/>
    </row>
    <row r="25" spans="1:45" hidden="1">
      <c r="A25" s="193"/>
      <c r="B25" s="193"/>
      <c r="C25" s="285" t="str">
        <f>IF(AS25="","ซ่อนช่อง",CONCATENATE("9. ",VLOOKUP(AS25,Table1[#All],2,0)))</f>
        <v>ซ่อนช่อง</v>
      </c>
      <c r="D25" s="285"/>
      <c r="E25" s="285"/>
      <c r="F25" s="285"/>
      <c r="G25" s="285"/>
      <c r="H25" s="285"/>
      <c r="I25" s="285"/>
      <c r="J25" s="285"/>
      <c r="K25" s="285"/>
      <c r="L25" s="285"/>
      <c r="M25" s="285"/>
      <c r="N25" s="285"/>
      <c r="O25" s="194"/>
      <c r="P25" s="193" t="str">
        <f t="shared" si="2"/>
        <v/>
      </c>
      <c r="Q25" s="193"/>
      <c r="R25" s="193"/>
      <c r="S25" s="193"/>
      <c r="T25" s="193"/>
      <c r="U25" s="193"/>
      <c r="V25" s="193"/>
      <c r="W25" s="193" t="str">
        <f t="shared" si="3"/>
        <v/>
      </c>
      <c r="X25" s="193"/>
      <c r="Y25" s="193"/>
      <c r="Z25" s="193"/>
      <c r="AA25" s="193"/>
      <c r="AB25" s="193"/>
      <c r="AC25" s="193"/>
      <c r="AD25" s="286" t="str">
        <f>IF(AS25="","",VLOOKUP(AS25,Table1[#All],3,0))</f>
        <v/>
      </c>
      <c r="AE25" s="286"/>
      <c r="AF25" s="286"/>
      <c r="AG25" s="286"/>
      <c r="AH25" s="286"/>
      <c r="AI25" s="286"/>
      <c r="AJ25" s="286"/>
      <c r="AK25" s="286"/>
      <c r="AL25" s="195"/>
      <c r="AM25" s="193"/>
      <c r="AN25" s="193"/>
      <c r="AO25" s="193"/>
      <c r="AP25" s="193"/>
      <c r="AQ25" s="193"/>
      <c r="AS25" s="197"/>
    </row>
    <row r="26" spans="1:45" hidden="1">
      <c r="A26" s="193"/>
      <c r="B26" s="193"/>
      <c r="C26" s="285" t="str">
        <f>IF(AS26="","ซ่อนช่อง",CONCATENATE("10. ",VLOOKUP(AS26,Table1[#All],2,0)))</f>
        <v>ซ่อนช่อง</v>
      </c>
      <c r="D26" s="285"/>
      <c r="E26" s="285"/>
      <c r="F26" s="285"/>
      <c r="G26" s="285"/>
      <c r="H26" s="285"/>
      <c r="I26" s="285"/>
      <c r="J26" s="285"/>
      <c r="K26" s="285"/>
      <c r="L26" s="285"/>
      <c r="M26" s="285"/>
      <c r="N26" s="285"/>
      <c r="O26" s="194"/>
      <c r="P26" s="193" t="str">
        <f t="shared" si="2"/>
        <v/>
      </c>
      <c r="Q26" s="193"/>
      <c r="R26" s="193"/>
      <c r="S26" s="193"/>
      <c r="T26" s="193"/>
      <c r="U26" s="193"/>
      <c r="V26" s="193"/>
      <c r="W26" s="193" t="str">
        <f t="shared" si="3"/>
        <v/>
      </c>
      <c r="X26" s="193"/>
      <c r="Y26" s="193"/>
      <c r="Z26" s="193"/>
      <c r="AA26" s="193"/>
      <c r="AB26" s="193"/>
      <c r="AC26" s="193"/>
      <c r="AD26" s="286" t="str">
        <f>IF(AS26="","",VLOOKUP(AS26,Table1[#All],3,0))</f>
        <v/>
      </c>
      <c r="AE26" s="286"/>
      <c r="AF26" s="286"/>
      <c r="AG26" s="286"/>
      <c r="AH26" s="286"/>
      <c r="AI26" s="286"/>
      <c r="AJ26" s="286"/>
      <c r="AK26" s="286"/>
      <c r="AL26" s="195"/>
      <c r="AM26" s="193"/>
      <c r="AN26" s="193"/>
      <c r="AO26" s="193"/>
      <c r="AP26" s="193"/>
      <c r="AQ26" s="193"/>
      <c r="AS26" s="197"/>
    </row>
    <row r="27" spans="1:45" hidden="1">
      <c r="A27" s="193"/>
      <c r="B27" s="193"/>
      <c r="C27" s="285" t="str">
        <f>IF(AS27="","ซ่อนช่อง",CONCATENATE("11. ",VLOOKUP(AS27,Table1[#All],2,0)))</f>
        <v>ซ่อนช่อง</v>
      </c>
      <c r="D27" s="285"/>
      <c r="E27" s="285"/>
      <c r="F27" s="285"/>
      <c r="G27" s="285"/>
      <c r="H27" s="285"/>
      <c r="I27" s="285"/>
      <c r="J27" s="285"/>
      <c r="K27" s="285"/>
      <c r="L27" s="285"/>
      <c r="M27" s="285"/>
      <c r="N27" s="285"/>
      <c r="O27" s="194"/>
      <c r="P27" s="193" t="str">
        <f t="shared" si="2"/>
        <v/>
      </c>
      <c r="Q27" s="193"/>
      <c r="R27" s="193"/>
      <c r="S27" s="193"/>
      <c r="T27" s="193"/>
      <c r="U27" s="193"/>
      <c r="V27" s="193"/>
      <c r="W27" s="193" t="str">
        <f t="shared" si="3"/>
        <v/>
      </c>
      <c r="X27" s="193"/>
      <c r="Y27" s="193"/>
      <c r="Z27" s="193"/>
      <c r="AA27" s="193"/>
      <c r="AB27" s="193"/>
      <c r="AC27" s="193"/>
      <c r="AD27" s="286" t="str">
        <f>IF(AS27="","",VLOOKUP(AS27,Table1[#All],3,0))</f>
        <v/>
      </c>
      <c r="AE27" s="286"/>
      <c r="AF27" s="286"/>
      <c r="AG27" s="286"/>
      <c r="AH27" s="286"/>
      <c r="AI27" s="286"/>
      <c r="AJ27" s="286"/>
      <c r="AK27" s="286"/>
      <c r="AL27" s="195"/>
      <c r="AM27" s="193"/>
      <c r="AN27" s="193"/>
      <c r="AO27" s="193"/>
      <c r="AP27" s="193"/>
      <c r="AQ27" s="193"/>
      <c r="AS27" s="197"/>
    </row>
    <row r="28" spans="1:45" hidden="1">
      <c r="A28" s="193"/>
      <c r="B28" s="193"/>
      <c r="C28" s="285" t="str">
        <f>IF(AS28="","ซ่อนช่อง",CONCATENATE("12. ",VLOOKUP(AS28,Table1[#All],2,0)))</f>
        <v>ซ่อนช่อง</v>
      </c>
      <c r="D28" s="285"/>
      <c r="E28" s="285"/>
      <c r="F28" s="285"/>
      <c r="G28" s="285"/>
      <c r="H28" s="285"/>
      <c r="I28" s="285"/>
      <c r="J28" s="285"/>
      <c r="K28" s="285"/>
      <c r="L28" s="285"/>
      <c r="M28" s="285"/>
      <c r="N28" s="285"/>
      <c r="O28" s="194"/>
      <c r="P28" s="193" t="str">
        <f t="shared" si="2"/>
        <v/>
      </c>
      <c r="Q28" s="193"/>
      <c r="R28" s="193"/>
      <c r="S28" s="193"/>
      <c r="T28" s="193"/>
      <c r="U28" s="193"/>
      <c r="V28" s="193"/>
      <c r="W28" s="193" t="str">
        <f t="shared" si="3"/>
        <v/>
      </c>
      <c r="X28" s="193"/>
      <c r="Y28" s="193"/>
      <c r="Z28" s="193"/>
      <c r="AA28" s="193"/>
      <c r="AB28" s="193"/>
      <c r="AC28" s="193"/>
      <c r="AD28" s="286" t="str">
        <f>IF(AS28="","",VLOOKUP(AS28,Table1[#All],3,0))</f>
        <v/>
      </c>
      <c r="AE28" s="286"/>
      <c r="AF28" s="286"/>
      <c r="AG28" s="286"/>
      <c r="AH28" s="286"/>
      <c r="AI28" s="286"/>
      <c r="AJ28" s="286"/>
      <c r="AK28" s="286"/>
      <c r="AL28" s="195"/>
      <c r="AM28" s="193"/>
      <c r="AN28" s="193"/>
      <c r="AO28" s="193"/>
      <c r="AP28" s="193"/>
      <c r="AQ28" s="193"/>
      <c r="AS28" s="197"/>
    </row>
    <row r="29" spans="1:45" hidden="1">
      <c r="A29" s="193"/>
      <c r="B29" s="193"/>
      <c r="C29" s="285" t="str">
        <f>IF(AS29="","ซ่อนช่อง",CONCATENATE("13. ",VLOOKUP(AS29,Table1[#All],2,0)))</f>
        <v>ซ่อนช่อง</v>
      </c>
      <c r="D29" s="285"/>
      <c r="E29" s="285"/>
      <c r="F29" s="285"/>
      <c r="G29" s="285"/>
      <c r="H29" s="285"/>
      <c r="I29" s="285"/>
      <c r="J29" s="285"/>
      <c r="K29" s="285"/>
      <c r="L29" s="285"/>
      <c r="M29" s="285"/>
      <c r="N29" s="285"/>
      <c r="O29" s="194"/>
      <c r="P29" s="193" t="str">
        <f t="shared" si="2"/>
        <v/>
      </c>
      <c r="Q29" s="193"/>
      <c r="R29" s="193"/>
      <c r="S29" s="193"/>
      <c r="T29" s="193"/>
      <c r="U29" s="193"/>
      <c r="V29" s="193"/>
      <c r="W29" s="193" t="str">
        <f t="shared" si="3"/>
        <v/>
      </c>
      <c r="X29" s="193"/>
      <c r="Y29" s="193"/>
      <c r="Z29" s="193"/>
      <c r="AA29" s="193"/>
      <c r="AB29" s="193"/>
      <c r="AC29" s="193"/>
      <c r="AD29" s="286" t="str">
        <f>IF(AS29="","",VLOOKUP(AS29,Table1[#All],3,0))</f>
        <v/>
      </c>
      <c r="AE29" s="286"/>
      <c r="AF29" s="286"/>
      <c r="AG29" s="286"/>
      <c r="AH29" s="286"/>
      <c r="AI29" s="286"/>
      <c r="AJ29" s="286"/>
      <c r="AK29" s="286"/>
      <c r="AL29" s="195"/>
      <c r="AM29" s="193"/>
      <c r="AN29" s="193"/>
      <c r="AO29" s="193"/>
      <c r="AP29" s="193"/>
      <c r="AQ29" s="193"/>
      <c r="AS29" s="197"/>
    </row>
    <row r="30" spans="1:45" hidden="1">
      <c r="A30" s="193"/>
      <c r="B30" s="193"/>
      <c r="C30" s="285" t="str">
        <f>IF(AS30="","ซ่อนช่อง",CONCATENATE("14. ",VLOOKUP(AS30,Table1[#All],2,0)))</f>
        <v>ซ่อนช่อง</v>
      </c>
      <c r="D30" s="285"/>
      <c r="E30" s="285"/>
      <c r="F30" s="285"/>
      <c r="G30" s="285"/>
      <c r="H30" s="285"/>
      <c r="I30" s="285"/>
      <c r="J30" s="285"/>
      <c r="K30" s="285"/>
      <c r="L30" s="285"/>
      <c r="M30" s="285"/>
      <c r="N30" s="285"/>
      <c r="O30" s="194"/>
      <c r="P30" s="193" t="str">
        <f t="shared" si="2"/>
        <v/>
      </c>
      <c r="Q30" s="193"/>
      <c r="R30" s="193"/>
      <c r="S30" s="193"/>
      <c r="T30" s="193"/>
      <c r="U30" s="193"/>
      <c r="V30" s="193"/>
      <c r="W30" s="193" t="str">
        <f t="shared" si="3"/>
        <v/>
      </c>
      <c r="X30" s="193"/>
      <c r="Y30" s="193"/>
      <c r="Z30" s="193"/>
      <c r="AA30" s="193"/>
      <c r="AB30" s="193"/>
      <c r="AC30" s="193"/>
      <c r="AD30" s="286" t="str">
        <f>IF(AS30="","",VLOOKUP(AS30,Table1[#All],3,0))</f>
        <v/>
      </c>
      <c r="AE30" s="286"/>
      <c r="AF30" s="286"/>
      <c r="AG30" s="286"/>
      <c r="AH30" s="286"/>
      <c r="AI30" s="286"/>
      <c r="AJ30" s="286"/>
      <c r="AK30" s="286"/>
      <c r="AL30" s="195"/>
      <c r="AM30" s="193"/>
      <c r="AN30" s="193"/>
      <c r="AO30" s="193"/>
      <c r="AP30" s="193"/>
      <c r="AQ30" s="193"/>
      <c r="AS30" s="197"/>
    </row>
    <row r="31" spans="1:45" hidden="1">
      <c r="A31" s="193"/>
      <c r="B31" s="193"/>
      <c r="C31" s="285" t="str">
        <f>IF(AS31="","ซ่อนช่อง",CONCATENATE("15. ",VLOOKUP(AS31,Table1[#All],2,0)))</f>
        <v>ซ่อนช่อง</v>
      </c>
      <c r="D31" s="285"/>
      <c r="E31" s="285"/>
      <c r="F31" s="285"/>
      <c r="G31" s="285"/>
      <c r="H31" s="285"/>
      <c r="I31" s="285"/>
      <c r="J31" s="285"/>
      <c r="K31" s="285"/>
      <c r="L31" s="285"/>
      <c r="M31" s="285"/>
      <c r="N31" s="285"/>
      <c r="O31" s="194"/>
      <c r="P31" s="193" t="str">
        <f t="shared" si="2"/>
        <v/>
      </c>
      <c r="Q31" s="193"/>
      <c r="R31" s="193"/>
      <c r="S31" s="193"/>
      <c r="T31" s="193"/>
      <c r="U31" s="193"/>
      <c r="V31" s="193"/>
      <c r="W31" s="193" t="str">
        <f t="shared" si="3"/>
        <v/>
      </c>
      <c r="X31" s="193"/>
      <c r="Y31" s="193"/>
      <c r="Z31" s="193"/>
      <c r="AA31" s="193"/>
      <c r="AB31" s="193"/>
      <c r="AC31" s="193"/>
      <c r="AD31" s="286" t="str">
        <f>IF(AS31="","",VLOOKUP(AS31,Table1[#All],3,0))</f>
        <v/>
      </c>
      <c r="AE31" s="286"/>
      <c r="AF31" s="286"/>
      <c r="AG31" s="286"/>
      <c r="AH31" s="286"/>
      <c r="AI31" s="286"/>
      <c r="AJ31" s="286"/>
      <c r="AK31" s="286"/>
      <c r="AL31" s="195"/>
      <c r="AM31" s="193"/>
      <c r="AN31" s="193"/>
      <c r="AO31" s="193"/>
      <c r="AP31" s="193"/>
      <c r="AQ31" s="193"/>
      <c r="AS31" s="197"/>
    </row>
    <row r="32" spans="1:45" hidden="1">
      <c r="A32" s="189"/>
      <c r="B32" s="189"/>
      <c r="C32" s="285" t="str">
        <f>IF(AS32="","ซ่อนช่อง",CONCATENATE("16. ",VLOOKUP(AS32,Table1[#All],2,0)))</f>
        <v>ซ่อนช่อง</v>
      </c>
      <c r="D32" s="285"/>
      <c r="E32" s="285"/>
      <c r="F32" s="285"/>
      <c r="G32" s="285"/>
      <c r="H32" s="285"/>
      <c r="I32" s="285"/>
      <c r="J32" s="285"/>
      <c r="K32" s="285"/>
      <c r="L32" s="285"/>
      <c r="M32" s="285"/>
      <c r="N32" s="285"/>
      <c r="O32" s="199"/>
      <c r="P32" s="193" t="str">
        <f t="shared" si="2"/>
        <v/>
      </c>
      <c r="Q32" s="189"/>
      <c r="R32" s="189"/>
      <c r="S32" s="189"/>
      <c r="T32" s="189"/>
      <c r="U32" s="189"/>
      <c r="V32" s="189"/>
      <c r="W32" s="193" t="str">
        <f t="shared" si="3"/>
        <v/>
      </c>
      <c r="X32" s="189"/>
      <c r="Y32" s="189"/>
      <c r="Z32" s="189"/>
      <c r="AA32" s="189"/>
      <c r="AB32" s="189"/>
      <c r="AC32" s="189"/>
      <c r="AD32" s="286" t="str">
        <f>IF(AS32="","",VLOOKUP(AS32,Table1[#All],3,0))</f>
        <v/>
      </c>
      <c r="AE32" s="286"/>
      <c r="AF32" s="286"/>
      <c r="AG32" s="286"/>
      <c r="AH32" s="286"/>
      <c r="AI32" s="286"/>
      <c r="AJ32" s="286"/>
      <c r="AK32" s="286"/>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296</v>
      </c>
      <c r="G34" s="2" t="s">
        <v>297</v>
      </c>
      <c r="S34" s="188" t="s">
        <v>298</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299</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300</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300</v>
      </c>
      <c r="L37" s="188"/>
      <c r="M37" s="188"/>
      <c r="N37" s="188"/>
      <c r="O37" s="188"/>
      <c r="P37" s="188"/>
      <c r="Q37" s="188"/>
      <c r="R37" s="188"/>
      <c r="S37" s="188"/>
      <c r="T37" s="188"/>
      <c r="U37" s="188"/>
      <c r="V37" s="188"/>
      <c r="W37" s="188"/>
      <c r="X37" s="188"/>
      <c r="Y37" s="188"/>
      <c r="Z37" s="188"/>
      <c r="AA37" s="202" t="s">
        <v>301</v>
      </c>
      <c r="AB37" s="202"/>
      <c r="AC37" s="202"/>
      <c r="AD37" s="202"/>
      <c r="AE37" s="202"/>
      <c r="AF37" s="202"/>
      <c r="AG37" s="202"/>
      <c r="AH37" s="202"/>
      <c r="AI37" s="202"/>
    </row>
    <row r="38" spans="1:43">
      <c r="J38" s="2" t="s">
        <v>300</v>
      </c>
      <c r="L38" s="188"/>
      <c r="M38" s="188"/>
      <c r="N38" s="188"/>
      <c r="O38" s="188"/>
      <c r="P38" s="188"/>
      <c r="Q38" s="188"/>
      <c r="R38" s="188"/>
      <c r="S38" s="188"/>
      <c r="T38" s="188"/>
      <c r="U38" s="188"/>
      <c r="V38" s="188"/>
      <c r="W38" s="188"/>
      <c r="X38" s="188"/>
      <c r="Y38" s="188"/>
      <c r="Z38" s="188"/>
      <c r="AA38" s="202" t="s">
        <v>302</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303</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304</v>
      </c>
    </row>
    <row r="43" spans="1:43">
      <c r="A43" s="2" t="s">
        <v>305</v>
      </c>
      <c r="V43" s="2" t="s">
        <v>309</v>
      </c>
    </row>
    <row r="44" spans="1:43">
      <c r="C44" s="2" t="s">
        <v>306</v>
      </c>
    </row>
    <row r="45" spans="1:43">
      <c r="B45" s="188"/>
      <c r="C45" s="188"/>
      <c r="D45" s="188"/>
      <c r="E45" s="188"/>
      <c r="F45" s="188"/>
      <c r="G45" s="188"/>
      <c r="H45" s="188"/>
      <c r="I45" s="188"/>
    </row>
    <row r="46" spans="1:43">
      <c r="A46" s="2" t="s">
        <v>307</v>
      </c>
    </row>
    <row r="47" spans="1:43">
      <c r="A47" s="2" t="s">
        <v>308</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AX16" sqref="AX16"/>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310</v>
      </c>
      <c r="AD2" s="188"/>
      <c r="AE2" s="188"/>
      <c r="AF2" s="188"/>
      <c r="AG2" s="188"/>
      <c r="AH2" s="188"/>
      <c r="AI2" s="188"/>
      <c r="AJ2" s="188"/>
      <c r="AK2" s="188"/>
      <c r="AL2" s="209"/>
    </row>
    <row r="3" spans="1:39">
      <c r="Z3" s="208"/>
      <c r="AA3" s="2" t="s">
        <v>311</v>
      </c>
      <c r="AD3" s="188"/>
      <c r="AE3" s="188"/>
      <c r="AF3" s="188"/>
      <c r="AG3" s="188"/>
      <c r="AH3" s="188"/>
      <c r="AI3" s="188"/>
      <c r="AJ3" s="188"/>
      <c r="AK3" s="188"/>
      <c r="AL3" s="209"/>
    </row>
    <row r="4" spans="1:39">
      <c r="Z4" s="208"/>
      <c r="AA4" s="2" t="s">
        <v>312</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0" t="s">
        <v>313</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314</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55">
        <v>21</v>
      </c>
      <c r="Y10" s="255"/>
      <c r="Z10" s="281" t="s">
        <v>272</v>
      </c>
      <c r="AA10" s="281"/>
      <c r="AB10" s="255" t="s">
        <v>365</v>
      </c>
      <c r="AC10" s="255"/>
      <c r="AD10" s="255"/>
      <c r="AE10" s="255"/>
      <c r="AF10" s="255"/>
      <c r="AG10" s="255"/>
      <c r="AH10" s="281" t="s">
        <v>315</v>
      </c>
      <c r="AI10" s="281"/>
      <c r="AJ10" s="255">
        <v>2568</v>
      </c>
      <c r="AK10" s="255"/>
      <c r="AL10" s="255"/>
      <c r="AM10" s="255"/>
    </row>
    <row r="11" spans="1:39">
      <c r="A11" s="2" t="s">
        <v>33</v>
      </c>
      <c r="D11" s="2" t="s">
        <v>316</v>
      </c>
    </row>
    <row r="12" spans="1:39">
      <c r="D12" s="2" t="s">
        <v>274</v>
      </c>
      <c r="G12" s="292" t="str">
        <f>CONCATENATE("ธนาคารออมสิน โดย ",Sheet1!B8," ผู้รับมอบอำนาจช่วง")</f>
        <v>ธนาคารออมสิน โดย นายอัครชัย จันทร์ขอนแก่น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317</v>
      </c>
      <c r="AG12" s="255">
        <f>Sheet1!D8</f>
        <v>42</v>
      </c>
      <c r="AH12" s="255"/>
      <c r="AI12" s="255"/>
      <c r="AJ12" s="2" t="s">
        <v>318</v>
      </c>
    </row>
    <row r="13" spans="1:39">
      <c r="A13" s="2" t="s">
        <v>281</v>
      </c>
      <c r="D13" s="255" t="s">
        <v>278</v>
      </c>
      <c r="E13" s="255"/>
      <c r="F13" s="255"/>
      <c r="G13" s="255"/>
      <c r="H13" s="281" t="s">
        <v>283</v>
      </c>
      <c r="I13" s="281"/>
      <c r="J13" s="281"/>
      <c r="K13" s="281"/>
      <c r="L13" s="255">
        <v>470</v>
      </c>
      <c r="M13" s="255"/>
      <c r="N13" s="255"/>
      <c r="O13" s="255"/>
      <c r="P13" s="281" t="s">
        <v>284</v>
      </c>
      <c r="Q13" s="281"/>
      <c r="R13" s="255" t="s">
        <v>152</v>
      </c>
      <c r="S13" s="255"/>
      <c r="T13" s="281" t="s">
        <v>319</v>
      </c>
      <c r="U13" s="281"/>
      <c r="V13" s="255" t="s">
        <v>152</v>
      </c>
      <c r="W13" s="255"/>
      <c r="X13" s="255"/>
      <c r="Y13" s="255"/>
      <c r="Z13" s="255"/>
      <c r="AA13" s="255"/>
      <c r="AB13" s="255"/>
      <c r="AC13" s="281" t="s">
        <v>285</v>
      </c>
      <c r="AD13" s="281"/>
      <c r="AE13" s="255" t="s">
        <v>287</v>
      </c>
      <c r="AF13" s="255"/>
      <c r="AG13" s="255"/>
      <c r="AH13" s="255"/>
      <c r="AI13" s="255"/>
      <c r="AJ13" s="255"/>
      <c r="AK13" s="255"/>
      <c r="AL13" s="255"/>
      <c r="AM13" s="255"/>
    </row>
    <row r="14" spans="1:39">
      <c r="A14" s="2" t="s">
        <v>320</v>
      </c>
      <c r="D14" s="255" t="s">
        <v>349</v>
      </c>
      <c r="E14" s="255"/>
      <c r="F14" s="255"/>
      <c r="G14" s="255"/>
      <c r="H14" s="255"/>
      <c r="I14" s="255"/>
      <c r="J14" s="255"/>
      <c r="K14" s="255"/>
      <c r="L14" s="281" t="s">
        <v>289</v>
      </c>
      <c r="M14" s="281"/>
      <c r="N14" s="281"/>
      <c r="O14" s="255" t="s">
        <v>294</v>
      </c>
      <c r="P14" s="255"/>
      <c r="Q14" s="255"/>
      <c r="R14" s="255"/>
      <c r="S14" s="255"/>
      <c r="T14" s="255"/>
      <c r="U14" s="255"/>
      <c r="V14" s="255"/>
      <c r="W14" s="255"/>
      <c r="X14" s="255"/>
      <c r="Y14" s="255"/>
      <c r="Z14" s="281" t="s">
        <v>291</v>
      </c>
      <c r="AA14" s="281"/>
      <c r="AB14" s="255" t="s">
        <v>295</v>
      </c>
      <c r="AC14" s="255"/>
      <c r="AD14" s="255"/>
      <c r="AE14" s="255"/>
      <c r="AF14" s="255"/>
      <c r="AG14" s="255"/>
      <c r="AH14" s="255"/>
      <c r="AI14" s="255"/>
      <c r="AJ14" s="255"/>
      <c r="AK14" s="255"/>
      <c r="AL14" s="255"/>
      <c r="AM14" s="255"/>
    </row>
    <row r="15" spans="1:39">
      <c r="A15" s="2" t="s">
        <v>334</v>
      </c>
    </row>
    <row r="16" spans="1:39">
      <c r="A16" s="2" t="s">
        <v>333</v>
      </c>
    </row>
    <row r="17" spans="1:40">
      <c r="A17" s="283"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ของศาลศาลแขวงเชียงใหม่ ในคดีหมายเลขคดีดำที่ ผบE1889/2566 คดีหมายเลขแดงที่ ผบE3415/2566 ของบุคคลดังต่อไปนี้</v>
      </c>
      <c r="B17" s="283"/>
      <c r="C17" s="283"/>
      <c r="D17" s="283"/>
      <c r="E17" s="283"/>
      <c r="F17" s="283"/>
      <c r="G17" s="283"/>
      <c r="H17" s="283"/>
      <c r="I17" s="283"/>
      <c r="J17" s="283"/>
      <c r="K17" s="283"/>
      <c r="L17" s="283"/>
      <c r="M17" s="283"/>
      <c r="N17" s="283"/>
      <c r="O17" s="283"/>
      <c r="P17" s="283"/>
      <c r="Q17" s="283"/>
      <c r="R17" s="283"/>
      <c r="S17" s="283"/>
      <c r="T17" s="283"/>
      <c r="U17" s="283"/>
      <c r="V17" s="283"/>
      <c r="W17" s="283"/>
      <c r="X17" s="283"/>
      <c r="Y17" s="283"/>
      <c r="Z17" s="283"/>
      <c r="AA17" s="283"/>
      <c r="AB17" s="283"/>
      <c r="AC17" s="283"/>
      <c r="AD17" s="283"/>
      <c r="AE17" s="283"/>
      <c r="AF17" s="283"/>
      <c r="AG17" s="283"/>
      <c r="AH17" s="283"/>
      <c r="AI17" s="283"/>
      <c r="AJ17" s="283"/>
      <c r="AK17" s="283"/>
      <c r="AL17" s="283"/>
      <c r="AM17" s="283"/>
    </row>
    <row r="18" spans="1:40">
      <c r="A18" s="283"/>
      <c r="B18" s="283"/>
      <c r="C18" s="283"/>
      <c r="D18" s="283"/>
      <c r="E18" s="283"/>
      <c r="F18" s="283"/>
      <c r="G18" s="283"/>
      <c r="H18" s="283"/>
      <c r="I18" s="283"/>
      <c r="J18" s="283"/>
      <c r="K18" s="283"/>
      <c r="L18" s="283"/>
      <c r="M18" s="283"/>
      <c r="N18" s="283"/>
      <c r="O18" s="283"/>
      <c r="P18" s="283"/>
      <c r="Q18" s="283"/>
      <c r="R18" s="283"/>
      <c r="S18" s="283"/>
      <c r="T18" s="283"/>
      <c r="U18" s="283"/>
      <c r="V18" s="283"/>
      <c r="W18" s="283"/>
      <c r="X18" s="283"/>
      <c r="Y18" s="283"/>
      <c r="Z18" s="283"/>
      <c r="AA18" s="283"/>
      <c r="AB18" s="283"/>
      <c r="AC18" s="283"/>
      <c r="AD18" s="283"/>
      <c r="AE18" s="283"/>
      <c r="AF18" s="283"/>
      <c r="AG18" s="283"/>
      <c r="AH18" s="283"/>
      <c r="AI18" s="283"/>
      <c r="AJ18" s="283"/>
      <c r="AK18" s="283"/>
      <c r="AL18" s="283"/>
      <c r="AM18" s="283"/>
    </row>
    <row r="19" spans="1:40">
      <c r="A19" s="283"/>
      <c r="B19" s="283"/>
      <c r="C19" s="283"/>
      <c r="D19" s="283"/>
      <c r="E19" s="283"/>
      <c r="F19" s="283"/>
      <c r="G19" s="283"/>
      <c r="H19" s="283"/>
      <c r="I19" s="283"/>
      <c r="J19" s="283"/>
      <c r="K19" s="283"/>
      <c r="L19" s="283"/>
      <c r="M19" s="283"/>
      <c r="N19" s="283"/>
      <c r="O19" s="283"/>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283"/>
      <c r="AM19" s="283"/>
    </row>
    <row r="20" spans="1:40">
      <c r="AN20" s="172" t="s">
        <v>335</v>
      </c>
    </row>
    <row r="21" spans="1:40">
      <c r="A21" s="188" t="str">
        <f>CONCATENATE("1.  ",VLOOKUP(AN21,Table1[#All],2,0))</f>
        <v>1.  นางสาวธิชาภรณ์ ทรายคำ</v>
      </c>
      <c r="B21" s="188"/>
      <c r="C21" s="188"/>
      <c r="D21" s="188"/>
      <c r="E21" s="188"/>
      <c r="F21" s="188"/>
      <c r="G21" s="188"/>
      <c r="H21" s="188"/>
      <c r="I21" s="188"/>
      <c r="J21" s="188"/>
      <c r="K21" s="188"/>
      <c r="L21" s="188"/>
      <c r="M21" s="188"/>
      <c r="N21" s="188"/>
      <c r="O21" s="188"/>
      <c r="P21" s="188"/>
      <c r="Q21" s="281" t="s">
        <v>329</v>
      </c>
      <c r="R21" s="281"/>
      <c r="S21" s="281"/>
      <c r="T21" s="281"/>
      <c r="U21" s="281"/>
      <c r="V21" s="281"/>
      <c r="W21" s="281"/>
      <c r="X21" s="281"/>
      <c r="Y21" s="281"/>
      <c r="Z21" s="293" t="str">
        <f>VLOOKUP(AN21,Table1[#All],3,0)</f>
        <v>1-5099-00308-72-1</v>
      </c>
      <c r="AA21" s="293"/>
      <c r="AB21" s="293"/>
      <c r="AC21" s="293"/>
      <c r="AD21" s="293"/>
      <c r="AE21" s="293"/>
      <c r="AF21" s="293"/>
      <c r="AG21" s="293"/>
      <c r="AH21" s="293"/>
      <c r="AI21" s="293"/>
      <c r="AJ21" s="293"/>
      <c r="AK21" s="293"/>
      <c r="AL21" s="293"/>
      <c r="AM21" s="293"/>
      <c r="AN21" s="214" t="s">
        <v>211</v>
      </c>
    </row>
    <row r="22" spans="1:40">
      <c r="F22" s="2" t="s">
        <v>321</v>
      </c>
    </row>
    <row r="23" spans="1:40">
      <c r="A23" s="2" t="s">
        <v>322</v>
      </c>
    </row>
    <row r="24" spans="1:40">
      <c r="A24" s="213" t="s">
        <v>330</v>
      </c>
      <c r="B24" s="188"/>
      <c r="C24" s="188"/>
      <c r="D24" s="188" t="s">
        <v>323</v>
      </c>
      <c r="E24" s="188"/>
      <c r="F24" s="188"/>
      <c r="G24" s="188"/>
      <c r="H24" s="188"/>
      <c r="I24" s="188"/>
      <c r="J24" s="188"/>
      <c r="K24" s="188"/>
      <c r="L24" s="188"/>
      <c r="M24" s="188"/>
      <c r="N24" s="188"/>
      <c r="O24" s="188"/>
      <c r="P24" s="188"/>
      <c r="Q24" s="188"/>
      <c r="R24" s="188"/>
      <c r="S24" s="188"/>
      <c r="V24" s="213" t="s">
        <v>331</v>
      </c>
      <c r="W24" s="188"/>
      <c r="X24" s="188"/>
      <c r="Y24" s="188" t="s">
        <v>324</v>
      </c>
      <c r="Z24" s="188"/>
      <c r="AA24" s="188"/>
      <c r="AB24" s="188"/>
      <c r="AC24" s="188"/>
      <c r="AD24" s="188"/>
      <c r="AE24" s="188"/>
      <c r="AF24" s="188"/>
      <c r="AG24" s="188"/>
      <c r="AH24" s="188"/>
      <c r="AI24" s="188"/>
      <c r="AJ24" s="188"/>
      <c r="AK24" s="188"/>
      <c r="AL24" s="188"/>
      <c r="AM24" s="188"/>
    </row>
    <row r="25" spans="1:40">
      <c r="A25" s="213" t="s">
        <v>328</v>
      </c>
      <c r="B25" s="193"/>
      <c r="C25" s="193"/>
      <c r="D25" s="193"/>
      <c r="E25" s="193"/>
      <c r="F25" s="193"/>
      <c r="G25" s="193"/>
      <c r="H25" s="193"/>
      <c r="I25" s="193"/>
      <c r="J25" s="193"/>
      <c r="K25" s="193"/>
      <c r="L25" s="193"/>
      <c r="M25" s="193"/>
      <c r="N25" s="193"/>
      <c r="O25" s="188"/>
      <c r="P25" s="193"/>
      <c r="Q25" s="193"/>
      <c r="R25" s="193"/>
      <c r="S25" s="193"/>
      <c r="V25" s="213" t="s">
        <v>332</v>
      </c>
      <c r="W25" s="188"/>
      <c r="X25" s="193"/>
      <c r="Y25" s="193"/>
      <c r="Z25" s="193"/>
      <c r="AA25" s="193"/>
      <c r="AB25" s="193"/>
      <c r="AC25" s="193"/>
      <c r="AD25" s="193"/>
      <c r="AE25" s="193"/>
      <c r="AF25" s="193"/>
      <c r="AG25" s="193"/>
      <c r="AH25" s="193"/>
      <c r="AI25" s="193"/>
      <c r="AJ25" s="193"/>
      <c r="AK25" s="193"/>
      <c r="AL25" s="193"/>
      <c r="AM25" s="193"/>
    </row>
    <row r="28" spans="1:40">
      <c r="A28" s="2" t="s">
        <v>325</v>
      </c>
      <c r="V28" s="2" t="s">
        <v>300</v>
      </c>
      <c r="X28" s="188"/>
      <c r="Y28" s="188"/>
      <c r="Z28" s="188"/>
      <c r="AA28" s="188"/>
      <c r="AB28" s="188"/>
      <c r="AC28" s="188"/>
      <c r="AD28" s="188"/>
      <c r="AE28" s="188"/>
      <c r="AF28" s="188"/>
      <c r="AG28" s="188"/>
      <c r="AH28" s="2" t="s">
        <v>326</v>
      </c>
    </row>
    <row r="29" spans="1:40">
      <c r="X29" s="281" t="str">
        <f>CONCATENATE("( ",Sheet1!B8," )")</f>
        <v>( นายอัครชัย จันทร์ขอนแก่น )</v>
      </c>
      <c r="Y29" s="281"/>
      <c r="Z29" s="281"/>
      <c r="AA29" s="281"/>
      <c r="AB29" s="281"/>
      <c r="AC29" s="281"/>
      <c r="AD29" s="281"/>
      <c r="AE29" s="281"/>
      <c r="AF29" s="281"/>
      <c r="AG29" s="281"/>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4" t="e">
        <f>#REF!</f>
        <v>#REF!</v>
      </c>
      <c r="M5" s="294"/>
      <c r="N5" s="294"/>
    </row>
    <row r="6" spans="2:15">
      <c r="H6" s="34"/>
      <c r="J6" s="35" t="s">
        <v>114</v>
      </c>
      <c r="L6" s="295"/>
      <c r="M6" s="295"/>
      <c r="N6" s="295"/>
    </row>
    <row r="7" spans="2:15">
      <c r="J7" s="35"/>
    </row>
    <row r="8" spans="2:15" ht="26.4">
      <c r="G8" s="296" t="e">
        <f>#REF!</f>
        <v>#REF!</v>
      </c>
      <c r="H8" s="296"/>
      <c r="I8" s="296"/>
      <c r="J8" s="296"/>
      <c r="K8" s="296"/>
    </row>
    <row r="9" spans="2:15">
      <c r="G9" s="27" t="s">
        <v>115</v>
      </c>
      <c r="H9" s="294" t="s">
        <v>66</v>
      </c>
      <c r="I9" s="294"/>
    </row>
    <row r="11" spans="2:15">
      <c r="F11" s="31" t="s">
        <v>117</v>
      </c>
      <c r="G11" s="31"/>
      <c r="H11" s="31"/>
      <c r="I11" s="31"/>
      <c r="J11" s="31"/>
      <c r="K11" s="31"/>
      <c r="L11" s="31"/>
      <c r="M11" s="31"/>
      <c r="N11" s="27" t="s">
        <v>118</v>
      </c>
    </row>
    <row r="12" spans="2:15">
      <c r="E12" s="299" t="s">
        <v>116</v>
      </c>
      <c r="M12" s="27"/>
    </row>
    <row r="13" spans="2:15">
      <c r="E13" s="299"/>
      <c r="F13" s="298" t="str">
        <f>ปกสำนวน!$C$10</f>
        <v>นางสาวสิริพิชญ์  ใจหมั่น</v>
      </c>
      <c r="G13" s="298"/>
      <c r="H13" s="298"/>
      <c r="I13" s="298"/>
      <c r="J13" s="298"/>
      <c r="K13" s="298"/>
      <c r="L13" s="298"/>
      <c r="M13" s="298"/>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7" t="e">
        <f>$F$19</f>
        <v>#REF!</v>
      </c>
      <c r="L19" s="297"/>
      <c r="M19" s="297"/>
      <c r="N19" s="297"/>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4" t="str">
        <f>ปกสำนวน!$S$7</f>
        <v>นายจิรวัฒน์  ตรีเศียร</v>
      </c>
      <c r="L23" s="294"/>
      <c r="M23" s="294"/>
      <c r="N23" s="294"/>
    </row>
    <row r="24" spans="4:14">
      <c r="M24" s="27"/>
    </row>
    <row r="25" spans="4:14">
      <c r="D25" s="34" t="s">
        <v>130</v>
      </c>
      <c r="M25" s="27"/>
    </row>
    <row r="26" spans="4:14">
      <c r="D26" s="21">
        <v>1</v>
      </c>
      <c r="E26" s="300" t="s">
        <v>131</v>
      </c>
      <c r="F26" s="300"/>
      <c r="G26" s="21" t="s">
        <v>62</v>
      </c>
      <c r="H26" s="297" t="e">
        <f>#REF!</f>
        <v>#REF!</v>
      </c>
      <c r="I26" s="294"/>
      <c r="J26" s="294"/>
      <c r="K26" s="32" t="s">
        <v>99</v>
      </c>
      <c r="M26" s="294" t="e">
        <f>#REF!</f>
        <v>#REF!</v>
      </c>
      <c r="N26" s="294"/>
    </row>
    <row r="27" spans="4:14">
      <c r="D27" s="21">
        <v>2</v>
      </c>
      <c r="E27" s="294"/>
      <c r="F27" s="294"/>
      <c r="G27" s="21" t="s">
        <v>62</v>
      </c>
      <c r="H27" s="294"/>
      <c r="I27" s="294"/>
      <c r="J27" s="294"/>
      <c r="K27" s="32" t="s">
        <v>99</v>
      </c>
      <c r="M27" s="31"/>
      <c r="N27" s="31"/>
    </row>
    <row r="28" spans="4:14">
      <c r="D28" s="21">
        <v>3</v>
      </c>
      <c r="E28" s="294"/>
      <c r="F28" s="294"/>
      <c r="G28" s="21" t="s">
        <v>62</v>
      </c>
      <c r="H28" s="294"/>
      <c r="I28" s="294"/>
      <c r="J28" s="294"/>
      <c r="K28" s="32" t="s">
        <v>99</v>
      </c>
      <c r="M28" s="31"/>
      <c r="N28" s="31"/>
    </row>
    <row r="29" spans="4:14">
      <c r="D29" s="21">
        <v>4</v>
      </c>
      <c r="E29" s="294"/>
      <c r="F29" s="294"/>
      <c r="G29" s="21" t="s">
        <v>62</v>
      </c>
      <c r="H29" s="294"/>
      <c r="I29" s="294"/>
      <c r="J29" s="294"/>
      <c r="K29" s="32" t="s">
        <v>99</v>
      </c>
      <c r="M29" s="31"/>
      <c r="N29" s="31"/>
    </row>
    <row r="30" spans="4:14">
      <c r="D30" s="21">
        <v>5</v>
      </c>
      <c r="E30" s="294"/>
      <c r="F30" s="294"/>
      <c r="G30" s="21" t="s">
        <v>62</v>
      </c>
      <c r="H30" s="294"/>
      <c r="I30" s="294"/>
      <c r="J30" s="294"/>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4" t="e">
        <f>#REF!</f>
        <v>#REF!</v>
      </c>
      <c r="G1" s="304"/>
    </row>
    <row r="2" spans="1:7">
      <c r="D2" s="18" t="s">
        <v>104</v>
      </c>
      <c r="F2" s="301" t="e">
        <f>#REF!</f>
        <v>#REF!</v>
      </c>
      <c r="G2" s="301"/>
    </row>
    <row r="3" spans="1:7" ht="10.5" customHeight="1">
      <c r="A3" s="303"/>
      <c r="B3" s="303"/>
      <c r="C3" s="303"/>
      <c r="D3" s="303"/>
      <c r="E3" s="303"/>
      <c r="F3" s="303"/>
      <c r="G3" s="303"/>
    </row>
    <row r="4" spans="1:7">
      <c r="A4" s="8" t="s">
        <v>1</v>
      </c>
      <c r="B4" s="8" t="s">
        <v>2</v>
      </c>
      <c r="C4" s="302" t="s">
        <v>3</v>
      </c>
      <c r="D4" s="302"/>
      <c r="E4" s="302" t="s">
        <v>4</v>
      </c>
      <c r="F4" s="302"/>
      <c r="G4" s="302"/>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4" t="e">
        <f>ค่าธรรมเนียมศาล!$S$8</f>
        <v>#REF!</v>
      </c>
      <c r="L7" s="314"/>
      <c r="M7" s="31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1" t="s">
        <v>63</v>
      </c>
      <c r="J19" s="312"/>
      <c r="K19" s="312"/>
      <c r="L19" s="305" t="s">
        <v>139</v>
      </c>
      <c r="M19" s="305"/>
      <c r="N19" s="305"/>
    </row>
    <row r="20" spans="1:16">
      <c r="B20" s="306" t="e">
        <f>$I$8</f>
        <v>#REF!</v>
      </c>
      <c r="C20" s="306"/>
      <c r="D20" s="306"/>
      <c r="E20" s="306"/>
      <c r="F20" s="315" t="e">
        <f>#REF!</f>
        <v>#REF!</v>
      </c>
      <c r="G20" s="315"/>
      <c r="H20" s="315"/>
      <c r="I20" s="309" t="e">
        <f>#REF!</f>
        <v>#REF!</v>
      </c>
      <c r="J20" s="310"/>
      <c r="K20" s="310"/>
      <c r="L20" s="316" t="e">
        <f>#REF!</f>
        <v>#REF!</v>
      </c>
      <c r="M20" s="316"/>
      <c r="N20" s="316"/>
    </row>
    <row r="21" spans="1:16">
      <c r="B21" s="307" t="s">
        <v>146</v>
      </c>
      <c r="C21" s="308"/>
      <c r="D21" s="308"/>
      <c r="E21" s="308"/>
      <c r="F21" s="308"/>
      <c r="G21" s="308"/>
      <c r="H21" s="308"/>
      <c r="I21" s="308"/>
      <c r="J21" s="308"/>
      <c r="K21" s="308"/>
      <c r="L21" s="313" t="e">
        <f>SUM(L20)</f>
        <v>#REF!</v>
      </c>
      <c r="M21" s="313"/>
      <c r="N21" s="31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8" t="s">
        <v>60</v>
      </c>
      <c r="P7" s="318"/>
      <c r="Q7" s="48"/>
      <c r="R7" s="48"/>
      <c r="S7" s="48"/>
      <c r="T7" s="48"/>
      <c r="U7" s="48"/>
      <c r="V7" s="49" t="e">
        <f>ใบปะหน้าค่าธรรมเนียมศาล!$C$6</f>
        <v>#REF!</v>
      </c>
      <c r="W7" s="339" t="s">
        <v>202</v>
      </c>
      <c r="X7" s="339"/>
      <c r="Y7" s="50"/>
    </row>
    <row r="8" spans="1:25" ht="21" customHeight="1">
      <c r="A8" s="51"/>
      <c r="O8" s="318" t="s">
        <v>62</v>
      </c>
      <c r="P8" s="318"/>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3" t="e">
        <f>#REF!</f>
        <v>#REF!</v>
      </c>
      <c r="F11" s="333"/>
      <c r="G11" s="333"/>
      <c r="H11" s="333"/>
      <c r="I11" s="333"/>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0" t="s">
        <v>72</v>
      </c>
      <c r="B14" s="321"/>
      <c r="C14" s="321"/>
      <c r="D14" s="321"/>
      <c r="E14" s="321"/>
      <c r="F14" s="321"/>
      <c r="G14" s="321"/>
      <c r="H14" s="321"/>
      <c r="I14" s="322"/>
      <c r="J14" s="320" t="s">
        <v>73</v>
      </c>
      <c r="K14" s="321"/>
      <c r="L14" s="321"/>
      <c r="M14" s="321"/>
      <c r="N14" s="321"/>
      <c r="O14" s="321"/>
      <c r="P14" s="321"/>
      <c r="Q14" s="322"/>
      <c r="R14" s="320" t="s">
        <v>74</v>
      </c>
      <c r="S14" s="321"/>
      <c r="T14" s="321"/>
      <c r="U14" s="321"/>
      <c r="V14" s="321"/>
      <c r="W14" s="321"/>
      <c r="X14" s="321"/>
      <c r="Y14" s="322"/>
    </row>
    <row r="15" spans="1:25" ht="21">
      <c r="A15" s="354" t="s">
        <v>103</v>
      </c>
      <c r="B15" s="355"/>
      <c r="C15" s="355"/>
      <c r="D15" s="355"/>
      <c r="E15" s="355"/>
      <c r="F15" s="355"/>
      <c r="G15" s="355"/>
      <c r="H15" s="355"/>
      <c r="I15" s="356"/>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4" t="s">
        <v>75</v>
      </c>
      <c r="B18" s="335"/>
      <c r="C18" s="335"/>
      <c r="D18" s="335"/>
      <c r="E18" s="335"/>
      <c r="F18" s="335"/>
      <c r="G18" s="335"/>
      <c r="H18" s="335"/>
      <c r="I18" s="335"/>
      <c r="J18" s="335"/>
      <c r="K18" s="335"/>
      <c r="L18" s="335"/>
      <c r="M18" s="335"/>
      <c r="N18" s="335"/>
      <c r="O18" s="335"/>
      <c r="P18" s="335"/>
      <c r="Q18" s="336"/>
      <c r="R18" s="360" t="e">
        <f>SUM(R15:Y17)</f>
        <v>#REF!</v>
      </c>
      <c r="S18" s="312"/>
      <c r="T18" s="312"/>
      <c r="U18" s="312"/>
      <c r="V18" s="312"/>
      <c r="W18" s="312"/>
      <c r="X18" s="312"/>
      <c r="Y18" s="353"/>
    </row>
    <row r="19" spans="1:25" ht="21">
      <c r="A19" s="96" t="s">
        <v>76</v>
      </c>
      <c r="B19" s="97"/>
      <c r="C19" s="97"/>
      <c r="D19" s="97"/>
      <c r="E19" s="97"/>
      <c r="F19" s="97"/>
      <c r="G19" s="97"/>
      <c r="H19" s="97"/>
      <c r="I19" s="97"/>
      <c r="J19" s="97"/>
      <c r="K19" s="97"/>
      <c r="L19" s="66"/>
      <c r="M19" s="58"/>
      <c r="N19" s="66"/>
      <c r="O19" s="58"/>
      <c r="P19" s="337" t="s">
        <v>73</v>
      </c>
      <c r="Q19" s="337"/>
      <c r="R19" s="58"/>
      <c r="S19" s="58"/>
      <c r="T19" s="58"/>
      <c r="U19" s="58"/>
      <c r="V19" s="58"/>
      <c r="W19" s="58"/>
      <c r="X19" s="57" t="s">
        <v>77</v>
      </c>
      <c r="Y19" s="46"/>
    </row>
    <row r="20" spans="1:25" ht="21">
      <c r="A20" s="53" t="s">
        <v>78</v>
      </c>
      <c r="B20" s="57"/>
      <c r="C20" s="57"/>
      <c r="D20" s="55" t="e">
        <f>$C$9</f>
        <v>#REF!</v>
      </c>
      <c r="E20" s="55"/>
      <c r="F20" s="55"/>
      <c r="G20" s="54"/>
      <c r="H20" s="56"/>
      <c r="I20" s="56"/>
      <c r="J20" s="318" t="s">
        <v>79</v>
      </c>
      <c r="K20" s="318"/>
      <c r="L20" s="318"/>
      <c r="M20" s="338" t="e">
        <f>#REF!</f>
        <v>#REF!</v>
      </c>
      <c r="N20" s="338"/>
      <c r="O20" s="338"/>
      <c r="P20" s="318" t="s">
        <v>80</v>
      </c>
      <c r="Q20" s="318"/>
      <c r="R20" s="318"/>
      <c r="S20" s="361" t="e">
        <f>$R$18</f>
        <v>#REF!</v>
      </c>
      <c r="T20" s="361"/>
      <c r="U20" s="361"/>
      <c r="V20" s="361"/>
      <c r="W20" s="361"/>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0" t="s">
        <v>49</v>
      </c>
      <c r="B24" s="321"/>
      <c r="C24" s="321"/>
      <c r="D24" s="321"/>
      <c r="E24" s="321"/>
      <c r="F24" s="321"/>
      <c r="G24" s="321"/>
      <c r="H24" s="321"/>
      <c r="I24" s="321"/>
      <c r="J24" s="321"/>
      <c r="K24" s="321"/>
      <c r="L24" s="321"/>
      <c r="M24" s="321"/>
      <c r="N24" s="321"/>
      <c r="O24" s="322"/>
      <c r="P24" s="320" t="s">
        <v>84</v>
      </c>
      <c r="Q24" s="321"/>
      <c r="R24" s="321"/>
      <c r="S24" s="321"/>
      <c r="T24" s="322"/>
      <c r="U24" s="320" t="s">
        <v>80</v>
      </c>
      <c r="V24" s="321"/>
      <c r="W24" s="321"/>
      <c r="X24" s="321"/>
      <c r="Y24" s="322"/>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7"/>
      <c r="Q26" s="358"/>
      <c r="R26" s="358"/>
      <c r="S26" s="358"/>
      <c r="T26" s="359"/>
      <c r="U26" s="362" t="e">
        <f>#REF!</f>
        <v>#REF!</v>
      </c>
      <c r="V26" s="363"/>
      <c r="W26" s="363"/>
      <c r="X26" s="363"/>
      <c r="Y26" s="364"/>
    </row>
    <row r="27" spans="1:25" ht="21">
      <c r="A27" s="68" t="s">
        <v>14</v>
      </c>
      <c r="B27" s="57" t="s">
        <v>87</v>
      </c>
      <c r="G27" s="58"/>
      <c r="H27" s="58"/>
      <c r="I27" s="58"/>
      <c r="J27" s="58"/>
      <c r="K27" s="58"/>
      <c r="L27" s="58"/>
      <c r="M27" s="58"/>
      <c r="N27" s="58"/>
      <c r="O27" s="60"/>
      <c r="P27" s="357"/>
      <c r="Q27" s="358"/>
      <c r="R27" s="358"/>
      <c r="S27" s="358"/>
      <c r="T27" s="359"/>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57"/>
      <c r="Q28" s="358"/>
      <c r="R28" s="358"/>
      <c r="S28" s="358"/>
      <c r="T28" s="359"/>
      <c r="U28" s="330"/>
      <c r="V28" s="331"/>
      <c r="W28" s="331"/>
      <c r="X28" s="331"/>
      <c r="Y28" s="332"/>
    </row>
    <row r="29" spans="1:25" ht="21">
      <c r="A29" s="68" t="s">
        <v>14</v>
      </c>
      <c r="B29" s="57" t="s">
        <v>91</v>
      </c>
      <c r="F29" s="69"/>
      <c r="G29" s="69"/>
      <c r="H29" s="103"/>
      <c r="I29" s="104"/>
      <c r="J29" s="104"/>
      <c r="K29" s="105"/>
      <c r="L29" s="103"/>
      <c r="M29" s="103"/>
      <c r="N29" s="104"/>
      <c r="O29" s="104"/>
      <c r="P29" s="357"/>
      <c r="Q29" s="358"/>
      <c r="R29" s="358"/>
      <c r="S29" s="358"/>
      <c r="T29" s="359"/>
      <c r="U29" s="330"/>
      <c r="V29" s="331"/>
      <c r="W29" s="331"/>
      <c r="X29" s="331"/>
      <c r="Y29" s="332"/>
    </row>
    <row r="30" spans="1:25" ht="21">
      <c r="A30" s="68" t="s">
        <v>14</v>
      </c>
      <c r="B30" s="57" t="s">
        <v>91</v>
      </c>
      <c r="F30" s="69"/>
      <c r="G30" s="54"/>
      <c r="H30" s="56"/>
      <c r="I30" s="56"/>
      <c r="J30" s="69"/>
      <c r="K30" s="54"/>
      <c r="L30" s="54"/>
      <c r="M30" s="56"/>
      <c r="N30" s="56"/>
      <c r="O30" s="63"/>
      <c r="P30" s="357"/>
      <c r="Q30" s="358"/>
      <c r="R30" s="358"/>
      <c r="S30" s="358"/>
      <c r="T30" s="359"/>
      <c r="U30" s="330"/>
      <c r="V30" s="331"/>
      <c r="W30" s="331"/>
      <c r="X30" s="331"/>
      <c r="Y30" s="332"/>
    </row>
    <row r="31" spans="1:25" ht="21.6" thickBot="1">
      <c r="A31" s="323" t="s">
        <v>92</v>
      </c>
      <c r="B31" s="318"/>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2" t="e">
        <f>"- ("&amp;BAHTTEXT($U$32)&amp;") -"</f>
        <v>#REF!</v>
      </c>
      <c r="E32" s="312"/>
      <c r="F32" s="312"/>
      <c r="G32" s="312"/>
      <c r="H32" s="312"/>
      <c r="I32" s="312"/>
      <c r="J32" s="312"/>
      <c r="K32" s="312"/>
      <c r="L32" s="312"/>
      <c r="M32" s="312"/>
      <c r="N32" s="312"/>
      <c r="O32" s="353"/>
      <c r="P32" s="67"/>
      <c r="U32" s="324" t="e">
        <f>SUM(U26:$Y$30)</f>
        <v>#REF!</v>
      </c>
      <c r="V32" s="325"/>
      <c r="W32" s="325"/>
      <c r="X32" s="325"/>
      <c r="Y32" s="326"/>
    </row>
    <row r="33" spans="1:25" ht="11.25" customHeight="1">
      <c r="A33" s="64"/>
      <c r="O33" s="46"/>
      <c r="T33" s="46"/>
      <c r="Y33" s="46"/>
    </row>
    <row r="34" spans="1:25" ht="21">
      <c r="A34" s="320" t="s">
        <v>148</v>
      </c>
      <c r="B34" s="321"/>
      <c r="C34" s="321"/>
      <c r="D34" s="321"/>
      <c r="E34" s="322"/>
      <c r="F34" s="320" t="s">
        <v>149</v>
      </c>
      <c r="G34" s="321"/>
      <c r="H34" s="321"/>
      <c r="I34" s="321"/>
      <c r="J34" s="322"/>
      <c r="K34" s="320" t="s">
        <v>150</v>
      </c>
      <c r="L34" s="321"/>
      <c r="M34" s="321"/>
      <c r="N34" s="321"/>
      <c r="O34" s="321"/>
      <c r="P34" s="320" t="s">
        <v>150</v>
      </c>
      <c r="Q34" s="321"/>
      <c r="R34" s="321"/>
      <c r="S34" s="321"/>
      <c r="T34" s="321"/>
      <c r="U34" s="327" t="s">
        <v>151</v>
      </c>
      <c r="V34" s="328"/>
      <c r="W34" s="328"/>
      <c r="X34" s="328"/>
      <c r="Y34" s="329"/>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7" t="s">
        <v>95</v>
      </c>
      <c r="B37" s="318"/>
      <c r="C37" s="318"/>
      <c r="D37" s="318"/>
      <c r="E37" s="319"/>
      <c r="F37" s="317" t="s">
        <v>95</v>
      </c>
      <c r="G37" s="318"/>
      <c r="H37" s="318"/>
      <c r="I37" s="318"/>
      <c r="J37" s="319"/>
      <c r="K37" s="318" t="s">
        <v>94</v>
      </c>
      <c r="L37" s="318"/>
      <c r="M37" s="318"/>
      <c r="N37" s="318"/>
      <c r="O37" s="319"/>
      <c r="R37" s="71" t="s">
        <v>96</v>
      </c>
      <c r="T37" s="46"/>
      <c r="U37" s="318" t="s">
        <v>94</v>
      </c>
      <c r="V37" s="318"/>
      <c r="W37" s="318"/>
      <c r="X37" s="318"/>
      <c r="Y37" s="319"/>
    </row>
    <row r="38" spans="1:25" ht="21">
      <c r="A38" s="72" t="s">
        <v>62</v>
      </c>
      <c r="B38" s="350"/>
      <c r="C38" s="351"/>
      <c r="D38" s="351"/>
      <c r="E38" s="352"/>
      <c r="F38" s="54" t="s">
        <v>62</v>
      </c>
      <c r="G38" s="351"/>
      <c r="H38" s="351"/>
      <c r="I38" s="351"/>
      <c r="J38" s="352"/>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3" t="e">
        <f>#REF!</f>
        <v>#REF!</v>
      </c>
      <c r="F3" s="283"/>
      <c r="G3" s="283"/>
      <c r="H3" s="36"/>
      <c r="I3" s="36"/>
    </row>
    <row r="4" spans="1:9">
      <c r="C4" s="19" t="s">
        <v>109</v>
      </c>
      <c r="D4" s="19"/>
      <c r="E4" s="365" t="e">
        <f>#REF!</f>
        <v>#REF!</v>
      </c>
      <c r="F4" s="365"/>
      <c r="G4" s="365"/>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5" t="e">
        <f>#REF!</f>
        <v>#REF!</v>
      </c>
      <c r="E38" s="365"/>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4" t="e">
        <f>ค่าธรรมเนียมศาล!$S$8</f>
        <v>#REF!</v>
      </c>
      <c r="L7" s="314"/>
      <c r="M7" s="314"/>
    </row>
    <row r="8" spans="1:16">
      <c r="A8" s="79" t="s">
        <v>32</v>
      </c>
      <c r="C8" s="75" t="s">
        <v>36</v>
      </c>
      <c r="H8" s="371" t="e">
        <f>#REF!</f>
        <v>#REF!</v>
      </c>
      <c r="I8" s="373"/>
      <c r="J8" s="373"/>
      <c r="K8" s="373"/>
      <c r="L8" s="373"/>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1" t="e">
        <f>#REF!</f>
        <v>#REF!</v>
      </c>
      <c r="J20" s="371"/>
      <c r="K20" s="75" t="s">
        <v>43</v>
      </c>
      <c r="N20" s="372" t="e">
        <f>#REF!</f>
        <v>#REF!</v>
      </c>
      <c r="O20" s="372"/>
      <c r="P20" s="372"/>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5" t="s">
        <v>49</v>
      </c>
      <c r="E24" s="366"/>
      <c r="F24" s="366"/>
      <c r="G24" s="366"/>
      <c r="H24" s="366"/>
      <c r="I24" s="366"/>
      <c r="J24" s="366"/>
      <c r="K24" s="81"/>
      <c r="L24" s="366" t="s">
        <v>48</v>
      </c>
      <c r="M24" s="366"/>
      <c r="N24" s="366"/>
    </row>
    <row r="25" spans="1:16">
      <c r="C25" s="82">
        <v>1</v>
      </c>
      <c r="D25" s="83" t="s">
        <v>58</v>
      </c>
      <c r="G25" s="84" t="s">
        <v>46</v>
      </c>
      <c r="H25" s="38" t="s">
        <v>47</v>
      </c>
      <c r="I25" s="85" t="e">
        <f>#REF!</f>
        <v>#REF!</v>
      </c>
      <c r="K25" s="86"/>
      <c r="L25" s="367" t="e">
        <f>#REF!</f>
        <v>#REF!</v>
      </c>
      <c r="M25" s="367"/>
      <c r="N25" s="367"/>
    </row>
    <row r="26" spans="1:16">
      <c r="C26" s="82">
        <v>2</v>
      </c>
      <c r="D26" s="83" t="s">
        <v>100</v>
      </c>
      <c r="K26" s="87"/>
      <c r="L26" s="368" t="e">
        <f>IF(#REF!&gt;701,#REF!,2000)</f>
        <v>#REF!</v>
      </c>
      <c r="M26" s="368"/>
      <c r="N26" s="368"/>
    </row>
    <row r="27" spans="1:16">
      <c r="C27" s="82"/>
      <c r="D27" s="83"/>
      <c r="K27" s="87"/>
      <c r="L27" s="368"/>
      <c r="M27" s="368"/>
      <c r="N27" s="368"/>
    </row>
    <row r="28" spans="1:16">
      <c r="C28" s="88"/>
      <c r="D28" s="89"/>
      <c r="E28" s="55"/>
      <c r="F28" s="55"/>
      <c r="G28" s="55"/>
      <c r="H28" s="55"/>
      <c r="I28" s="369" t="s">
        <v>52</v>
      </c>
      <c r="J28" s="369"/>
      <c r="K28" s="369"/>
      <c r="L28" s="370"/>
      <c r="M28" s="370"/>
      <c r="N28" s="370"/>
    </row>
    <row r="29" spans="1:16" ht="21.6" thickBot="1">
      <c r="C29" s="90"/>
      <c r="D29" s="374"/>
      <c r="E29" s="374"/>
      <c r="F29" s="374"/>
      <c r="G29" s="377" t="e">
        <f>"- ("&amp;BAHTTEXT($L$29)&amp;") -"</f>
        <v>#REF!</v>
      </c>
      <c r="H29" s="377"/>
      <c r="I29" s="377"/>
      <c r="J29" s="377"/>
      <c r="K29" s="377"/>
      <c r="L29" s="376" t="e">
        <f>SUM(L25:N28)</f>
        <v>#REF!</v>
      </c>
      <c r="M29" s="376"/>
      <c r="N29" s="376"/>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2024-08-07T10:14:57Z</cp:lastPrinted>
  <dcterms:created xsi:type="dcterms:W3CDTF">2016-06-06T16:13:57Z</dcterms:created>
  <dcterms:modified xsi:type="dcterms:W3CDTF">2025-03-17T03:04:11Z</dcterms:modified>
</cp:coreProperties>
</file>