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ที่ดิน 13-1-68\ศ.3\บ่อสร้าง\"/>
    </mc:Choice>
  </mc:AlternateContent>
  <xr:revisionPtr revIDLastSave="0" documentId="8_{EA767050-7951-4D4B-8F5E-E2AF0F08DD0E}" xr6:coauthVersionLast="47" xr6:coauthVersionMax="47" xr10:uidLastSave="{00000000-0000-0000-0000-000000000000}"/>
  <bookViews>
    <workbookView xWindow="-120" yWindow="-120" windowWidth="29040" windowHeight="15720"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<sst xmlns="http://schemas.openxmlformats.org/spreadsheetml/2006/main" count="711" uniqueCount="357">
  <si>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</si>
  <si>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</si>
  <si>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</si>
  <si>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</si>
  <si>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</si>
  <si>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</si>
  <si>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</si>
  <si>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</si>
  <si>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</si>
  <si>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</si>
  <si>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</si>
  <si>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</si>
  <si>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</si>
  <si>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</si>
  <si>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</si>
  <si>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</si>
  <si>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</si>
  <si>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</si>
  <si>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</si>
  <si>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</si>
  <si>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</si>
  <si>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</si>
  <si>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</si>
  <si>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</si>
  <si>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</si>
  <si>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</si>
  <si>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</si>
  <si>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</si>
  <si>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</si>
  <si>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</si>
  <si>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</si>
  <si>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</si>
  <si>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</si>
  <si>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</si>
  <si>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</si>
  <si>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</si>
  <si>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</si>
  <si>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</si>
  <si>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</si>
  <si>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</si>
  <si>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</si>
  <si>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</si>
  <si>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</si>
  <si>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</si>
  <si>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</si>
  <si>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</si>
  <si>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</si>
  <si>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</si>
  <si>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</si>
  <si>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</si>
  <si>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</si>
  <si>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</si>
  <si>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</si>
  <si>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</si>
  <si>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</si>
  <si>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</si>
  <si>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</si>
  <si>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</si>
  <si>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</si>
  <si>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</si>
  <si>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</si>
  <si>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</si>
  <si>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</si>
  <si>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</si>
  <si>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</si>
  <si>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</si>
  <si>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</si>
  <si>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</si>
  <si>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</si>
  <si>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</si>
  <si>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</si>
  <si>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</si>
  <si>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</si>
  <si>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</si>
  <si>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</si>
  <si>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</si>
  <si>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</si>
  <si>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</si>
  <si>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</si>
  <si>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</si>
  <si>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</si>
  <si>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</si>
  <si>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</si>
  <si>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</si>
  <si>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</si>
  <si>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</si>
  <si>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</si>
  <si>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</si>
  <si>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</si>
  <si>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</si>
  <si>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</si>
  <si>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</si>
  <si>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</si>
  <si>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</si>
  <si>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</si>
  <si>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</si>
  <si>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</si>
  <si>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</si>
  <si>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</si>
  <si>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</si>
  <si>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</si>
  <si>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</si>
  <si>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</si>
  <si>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</si>
  <si>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</si>
  <si>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</si>
  <si>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</si>
  <si>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</si>
  <si>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</si>
  <si>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</si>
  <si>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</si>
  <si>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</si>
  <si>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</si>
  <si>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</si>
  <si>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</si>
  <si>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</si>
  <si>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</si>
  <si>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</si>
  <si>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</si>
  <si>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</si>
  <si>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</si>
  <si>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</si>
  <si>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</si>
  <si>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</si>
  <si>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</si>
  <si>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</si>
  <si>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</si>
  <si>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</si>
  <si>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</si>
  <si>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</si>
  <si>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</si>
  <si>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</si>
  <si>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</si>
  <si>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</si>
  <si>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</si>
  <si>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</si>
  <si>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</si>
  <si>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</si>
  <si>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</si>
  <si>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</si>
  <si>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</si>
  <si>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</si>
  <si>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</si>
  <si>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</si>
  <si>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</si>
  <si>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</si>
  <si>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</si>
  <si>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</si>
  <si>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</si>
  <si>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</si>
  <si>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</si>
  <si>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</si>
  <si>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</si>
  <si>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</si>
  <si>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</si>
  <si>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</si>
  <si>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</si>
  <si>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</si>
  <si>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</si>
  <si>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</si>
  <si>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</si>
  <si>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</si>
  <si>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</si>
  <si>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</si>
  <si>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</si>
  <si>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</si>
  <si>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</si>
  <si>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</si>
  <si>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</si>
  <si>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</si>
  <si>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</si>
  <si>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</si>
  <si>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</si>
  <si>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</si>
  <si>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</si>
  <si>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</si>
  <si>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</si>
  <si>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</si>
  <si>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</si>
  <si>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</si>
  <si>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</si>
  <si>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</si>
  <si>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</si>
  <si>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</si>
  <si>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</si>
  <si>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</si>
  <si>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</si>
  <si>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</si>
  <si>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</si>
  <si>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</si>
  <si>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</si>
  <si>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</si>
  <si>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</si>
  <si>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</si>
  <si>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</si>
  <si>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</si>
  <si>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</si>
  <si>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</si>
  <si>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</si>
  <si>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</si>
  <si>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</si>
  <si>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</si>
  <si>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</si>
  <si>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</si>
  <si>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</si>
  <si>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</si>
  <si>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</si>
  <si>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</si>
  <si>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</si>
  <si>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</si>
  <si>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</si>
  <si>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</si>
  <si>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</si>
  <si>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</si>
  <si>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</si>
  <si>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</si>
  <si>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</si>
  <si>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</si>
  <si>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</si>
  <si>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</si>
  <si>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</si>
  <si>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</si>
  <si>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</si>
  <si>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</si>
  <si>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</si>
  <si>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</si>
  <si>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</si>
  <si>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</si>
  <si>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</si>
  <si>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</si>
  <si>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</si>
  <si>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</si>
  <si>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</si>
  <si>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</si>
  <si>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</si>
  <si>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</si>
  <si>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</si>
  <si>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</si>
  <si>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</si>
  <si>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</si>
  <si>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</si>
  <si>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</si>
  <si>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</si>
  <si>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</si>
  <si>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</si>
  <si>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</si>
  <si>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</si>
  <si>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</si>
  <si>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</si>
  <si>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</si>
  <si>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</si>
  <si>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</si>
  <si>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</si>
  <si>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</si>
  <si>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</si>
  <si>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</si>
  <si>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</si>
  <si>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</si>
  <si>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</si>
  <si>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</si>
  <si>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</si>
  <si>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</si>
  <si>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</si>
  <si>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</si>
  <si>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</si>
  <si>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</si>
  <si>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</si>
  <si>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</si>
  <si>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</si>
  <si>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</si>
  <si>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</si>
  <si>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</si>
  <si>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</si>
  <si>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</si>
  <si>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</si>
  <si>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</si>
  <si>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</si>
  <si>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</si>
  <si>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</si>
  <si>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</si>
  <si>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</si>
  <si>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</si>
  <si>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</si>
  <si>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</si>
  <si>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</si>
  <si>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</si>
  <si>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</si>
  <si>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</si>
  <si>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</si>
  <si>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</si>
  <si>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</si>
  <si>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</si>
  <si>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</si>
  <si>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</si>
  <si>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</si>
  <si>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</si>
  <si>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</si>
  <si>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</si>
  <si>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</si>
  <si>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</si>
  <si>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</si>
  <si>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</si>
  <si>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</si>
  <si>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</si>
  <si>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</si>
  <si>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</si>
  <si>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</si>
  <si>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</si>
  <si>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</si>
  <si>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</si>
  <si>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</si>
  <si>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</si>
  <si>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</si>
  <si>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</si>
  <si>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</si>
  <si>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</si>
  <si>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</si>
  <si>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</si>
  <si>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</si>
  <si>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</si>
  <si>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</si>
  <si>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</si>
  <si>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</si>
  <si>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</si>
  <si>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</si>
  <si>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</si>
  <si>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</si>
  <si>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</si>
  <si>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</si>
  <si>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</si>
  <si>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</si>
  <si>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</si>
  <si>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</si>
  <si>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</si>
  <si>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</si>
  <si>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</si>
  <si>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</si>
  <si>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</si>
  <si>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</si>
  <si>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</si>
  <si>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</si>
  <si>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</si>
  <si>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</si>
  <si>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</si>
  <si>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</si>
  <si>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</si>
  <si>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</si>
  <si>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</si>
  <si>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</si>
  <si>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</si>
  <si>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จังหวัดเชียงใหม่ สาขาสันกำแพง</t>
  </si>
  <si>
    <t>088-769-6476</t>
  </si>
  <si>
    <t>คู่สมรสจำเลยที่ 1</t>
  </si>
  <si>
    <t>นางอนงค์ แสงทอง</t>
  </si>
  <si>
    <t>นายพรพิทักษ์ แสงทอง</t>
  </si>
  <si>
    <t>นายวุฒิพงศ์ ภีระคำ</t>
  </si>
  <si>
    <t>นางสุภาภรณ์ ภีระคำ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</si>
</sst>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b/>
        <i val="0"/>
        <color rgb="FFC00000"/>
      </font>
    </dxf>
    <dxf>
      <font>
        <b/>
        <i val="0"/>
        <color rgb="FFC00000"/>
      </font>
    </dxf>
    <dxf>
      <font>
        <b/>
        <i val="0"/>
        <color rgb="FFC00000"/>
      </font>
    </dxf>
    <dxf>
      <font>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1.นายนราพงษ์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สถาพร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นายสถาพร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Q1826"/>
          <cell r="R1826"/>
          <cell r="S1826" t="str">
            <v>จังหวัดฮอด</v>
          </cell>
          <cell r="T1826" t="str">
            <v>ผบE283</v>
          </cell>
          <cell r="U1826">
            <v>2567</v>
          </cell>
          <cell r="V1826" t="str">
            <v>ผบE503</v>
          </cell>
          <cell r="W1826">
            <v>2567</v>
          </cell>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Q1830"/>
          <cell r="R1830"/>
          <cell r="S1830" t="str">
            <v>จังหวัดฮอด</v>
          </cell>
          <cell r="T1830" t="str">
            <v>ผบE282</v>
          </cell>
          <cell r="U1830">
            <v>2567</v>
          </cell>
          <cell r="V1830" t="str">
            <v>ผบE504</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CB766"/>
          <cell r="CC766"/>
          <cell r="CD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F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F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cell r="BD1097"/>
          <cell r="BE1097"/>
          <cell r="BF1097"/>
          <cell r="BG1097"/>
          <cell r="BH1097"/>
          <cell r="BI1097"/>
          <cell r="BJ1097"/>
          <cell r="BK1097"/>
          <cell r="BL1097"/>
          <cell r="BM1097"/>
          <cell r="BN1097"/>
          <cell r="BO1097"/>
          <cell r="BP1097"/>
          <cell r="BQ1097"/>
          <cell r="BR1097"/>
          <cell r="BS1097"/>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cell r="BD1197"/>
          <cell r="BE1197"/>
          <cell r="BF1197"/>
          <cell r="BG1197"/>
          <cell r="BH1197"/>
          <cell r="BI1197"/>
          <cell r="BJ1197"/>
          <cell r="BK1197"/>
          <cell r="BL1197"/>
          <cell r="BM1197"/>
          <cell r="BN1197"/>
          <cell r="BO1197"/>
          <cell r="BP1197"/>
          <cell r="BQ1197"/>
          <cell r="BR1197"/>
          <cell r="BS1197"/>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e">
            <v>#NAME?</v>
          </cell>
          <cell r="BZ1221" t="str">
            <v>ไม่พบ</v>
          </cell>
          <cell r="CA1221"/>
          <cell r="CB1221"/>
          <cell r="CC1221" t="str">
            <v>ปฏิยุทธ์</v>
          </cell>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9.25">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3" t="e">
        <f>#REF!</f>
        <v>#REF!</v>
      </c>
    </row>
    <row r="6" spans="1:26">
      <c r="A6" s="116" t="s">
        <v>157</v>
      </c>
      <c r="B6" s="55"/>
      <c r="C6" s="55"/>
      <c r="D6" s="55"/>
      <c r="E6" s="55"/>
      <c r="F6" s="55"/>
      <c r="G6" s="55"/>
      <c r="H6" s="55"/>
      <c r="I6" s="55"/>
      <c r="J6" s="55"/>
      <c r="K6" s="55"/>
      <c r="L6" s="55"/>
      <c r="M6" s="55"/>
      <c r="N6" s="55"/>
      <c r="O6" s="55"/>
      <c r="P6" s="55"/>
      <c r="Q6" s="55"/>
      <c r="S6" s="131"/>
      <c r="Y6" s="234"/>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4"/>
    </row>
    <row r="8" spans="1:26">
      <c r="A8" s="107"/>
      <c r="C8" s="244" t="s">
        <v>199</v>
      </c>
      <c r="D8" s="244"/>
      <c r="E8" s="244"/>
      <c r="F8" s="244"/>
      <c r="G8" s="244"/>
      <c r="H8" s="244"/>
      <c r="I8" s="244"/>
      <c r="J8" s="244"/>
      <c r="K8" s="244"/>
      <c r="L8" s="244"/>
      <c r="M8" s="244"/>
      <c r="N8" s="244"/>
      <c r="O8" s="244"/>
      <c r="P8" s="244"/>
      <c r="Q8" s="75" t="s">
        <v>118</v>
      </c>
      <c r="S8" s="79"/>
      <c r="V8" s="76"/>
      <c r="Y8" s="234"/>
    </row>
    <row r="9" spans="1:26">
      <c r="A9" s="245" t="s">
        <v>116</v>
      </c>
      <c r="B9" s="245"/>
      <c r="S9" s="79" t="s">
        <v>196</v>
      </c>
      <c r="V9" s="76"/>
      <c r="X9" s="95"/>
      <c r="Y9" s="235"/>
    </row>
    <row r="10" spans="1:26">
      <c r="A10" s="245"/>
      <c r="B10" s="245"/>
      <c r="C10" s="244" t="s">
        <v>201</v>
      </c>
      <c r="D10" s="244"/>
      <c r="E10" s="244"/>
      <c r="F10" s="244"/>
      <c r="G10" s="244"/>
      <c r="H10" s="244"/>
      <c r="I10" s="244"/>
      <c r="J10" s="244"/>
      <c r="K10" s="244"/>
      <c r="L10" s="244"/>
      <c r="M10" s="244"/>
      <c r="N10" s="244"/>
      <c r="O10" s="244"/>
      <c r="P10" s="244"/>
      <c r="Q10" s="75" t="s">
        <v>119</v>
      </c>
      <c r="S10" s="134" t="s">
        <v>198</v>
      </c>
      <c r="T10" s="133" t="e">
        <f>#REF!</f>
        <v>#REF!</v>
      </c>
      <c r="U10" s="95"/>
      <c r="V10" s="95"/>
      <c r="W10" s="95"/>
      <c r="X10" s="236"/>
      <c r="Y10" s="236"/>
    </row>
    <row r="11" spans="1:26">
      <c r="A11" s="107"/>
      <c r="E11" s="106"/>
      <c r="S11" s="79" t="s">
        <v>197</v>
      </c>
      <c r="T11" s="79"/>
      <c r="U11" s="79"/>
      <c r="V11" s="79"/>
      <c r="X11" s="236"/>
      <c r="Y11" s="236"/>
    </row>
    <row r="12" spans="1:26" ht="21.75" customHeight="1">
      <c r="A12" s="107"/>
      <c r="O12" s="108"/>
      <c r="P12" s="108"/>
      <c r="Q12" s="108"/>
      <c r="R12" s="108"/>
      <c r="S12" s="134" t="s">
        <v>198</v>
      </c>
      <c r="T12" s="241" t="e">
        <f>#REF!</f>
        <v>#REF!</v>
      </c>
      <c r="U12" s="241"/>
      <c r="V12" s="241"/>
      <c r="W12" s="241"/>
      <c r="X12" s="237"/>
      <c r="Y12" s="237"/>
    </row>
    <row r="13" spans="1:26" ht="21.75" customHeight="1" thickBot="1">
      <c r="A13" s="107" t="s">
        <v>158</v>
      </c>
      <c r="F13" s="244" t="s">
        <v>159</v>
      </c>
      <c r="G13" s="244"/>
      <c r="H13" s="244"/>
      <c r="I13" s="244"/>
      <c r="J13" s="244"/>
      <c r="K13" s="244"/>
      <c r="L13" s="244"/>
      <c r="M13" s="244"/>
      <c r="N13" s="244"/>
      <c r="O13" s="244"/>
      <c r="P13" s="244"/>
      <c r="S13" s="130"/>
      <c r="T13" s="130"/>
      <c r="U13" s="128"/>
      <c r="V13" s="128"/>
      <c r="W13" s="128"/>
      <c r="X13" s="240" t="e">
        <f>#REF!</f>
        <v>#REF!</v>
      </c>
      <c r="Y13" s="240"/>
    </row>
    <row r="14" spans="1:26">
      <c r="A14" s="107"/>
      <c r="S14" s="129"/>
      <c r="T14" s="129"/>
      <c r="U14" s="238" t="e">
        <f>#REF!</f>
        <v>#REF!</v>
      </c>
      <c r="V14" s="238"/>
      <c r="W14" s="238"/>
      <c r="X14" s="239"/>
      <c r="Y14" s="76" t="s">
        <v>132</v>
      </c>
    </row>
    <row r="15" spans="1:26" ht="23.25">
      <c r="A15" s="120" t="s">
        <v>160</v>
      </c>
    </row>
    <row r="16" spans="1:26">
      <c r="B16" s="75" t="s">
        <v>161</v>
      </c>
      <c r="C16" s="118" t="s">
        <v>186</v>
      </c>
      <c r="D16" s="118"/>
      <c r="E16" s="118"/>
      <c r="F16" s="118"/>
      <c r="G16" s="118"/>
      <c r="H16" s="118"/>
      <c r="I16" s="75" t="s">
        <v>62</v>
      </c>
      <c r="J16" s="243" t="e">
        <f>#REF!</f>
        <v>#REF!</v>
      </c>
      <c r="K16" s="243"/>
      <c r="L16" s="243"/>
      <c r="M16" s="243"/>
      <c r="N16" s="243"/>
      <c r="O16" s="75" t="s">
        <v>99</v>
      </c>
      <c r="P16" s="232" t="e">
        <f>#REF!</f>
        <v>#REF!</v>
      </c>
      <c r="Q16" s="232"/>
      <c r="R16" s="231" t="s">
        <v>187</v>
      </c>
      <c r="S16" s="231"/>
      <c r="T16" s="117"/>
      <c r="U16" s="117"/>
      <c r="V16" s="117"/>
      <c r="W16" s="117"/>
      <c r="X16" s="117"/>
      <c r="Y16" s="117"/>
      <c r="Z16" s="118"/>
    </row>
    <row r="17" spans="1:26">
      <c r="B17" s="75" t="s">
        <v>162</v>
      </c>
      <c r="C17" s="118"/>
      <c r="D17" s="118"/>
      <c r="E17" s="118"/>
      <c r="F17" s="118"/>
      <c r="G17" s="118"/>
      <c r="H17" s="118"/>
      <c r="I17" s="75" t="s">
        <v>62</v>
      </c>
      <c r="J17" s="243"/>
      <c r="K17" s="243"/>
      <c r="L17" s="243"/>
      <c r="M17" s="243"/>
      <c r="N17" s="243"/>
      <c r="O17" s="75" t="s">
        <v>99</v>
      </c>
      <c r="P17" s="232"/>
      <c r="Q17" s="232"/>
      <c r="R17" s="231" t="s">
        <v>187</v>
      </c>
      <c r="S17" s="231"/>
      <c r="T17" s="117"/>
      <c r="U17" s="117"/>
      <c r="V17" s="117"/>
      <c r="W17" s="117"/>
      <c r="X17" s="117"/>
      <c r="Y17" s="117"/>
      <c r="Z17" s="118"/>
    </row>
    <row r="18" spans="1:26">
      <c r="B18" s="75" t="s">
        <v>163</v>
      </c>
      <c r="C18" s="118"/>
      <c r="D18" s="118"/>
      <c r="E18" s="118"/>
      <c r="F18" s="118"/>
      <c r="G18" s="118"/>
      <c r="H18" s="118"/>
      <c r="I18" s="75" t="s">
        <v>62</v>
      </c>
      <c r="J18" s="243"/>
      <c r="K18" s="243"/>
      <c r="L18" s="243"/>
      <c r="M18" s="243"/>
      <c r="N18" s="243"/>
      <c r="O18" s="75" t="s">
        <v>99</v>
      </c>
      <c r="P18" s="232"/>
      <c r="Q18" s="232"/>
      <c r="R18" s="231" t="s">
        <v>187</v>
      </c>
      <c r="S18" s="231"/>
      <c r="T18" s="117"/>
      <c r="U18" s="117"/>
      <c r="V18" s="117"/>
      <c r="W18" s="117"/>
      <c r="X18" s="117"/>
      <c r="Y18" s="117"/>
      <c r="Z18" s="118"/>
    </row>
    <row r="19" spans="1:26">
      <c r="A19" s="79"/>
      <c r="B19" s="75" t="s">
        <v>164</v>
      </c>
      <c r="C19" s="118"/>
      <c r="D19" s="118"/>
      <c r="E19" s="118"/>
      <c r="F19" s="118"/>
      <c r="G19" s="118"/>
      <c r="H19" s="118"/>
      <c r="I19" s="75" t="s">
        <v>62</v>
      </c>
      <c r="J19" s="243"/>
      <c r="K19" s="243"/>
      <c r="L19" s="243"/>
      <c r="M19" s="243"/>
      <c r="N19" s="243"/>
      <c r="O19" s="75" t="s">
        <v>99</v>
      </c>
      <c r="P19" s="232"/>
      <c r="Q19" s="232"/>
      <c r="R19" s="231" t="s">
        <v>187</v>
      </c>
      <c r="S19" s="231"/>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2"/>
      <c r="G32" s="242"/>
      <c r="H32" s="242"/>
      <c r="I32" s="242"/>
      <c r="J32" s="75" t="s">
        <v>180</v>
      </c>
      <c r="O32" s="75" t="s">
        <v>182</v>
      </c>
      <c r="Q32" s="123"/>
      <c r="R32" s="123"/>
      <c r="S32" s="123"/>
      <c r="T32" s="124" t="s">
        <v>184</v>
      </c>
      <c r="U32" s="87" t="s">
        <v>183</v>
      </c>
      <c r="V32" s="87"/>
      <c r="W32" s="125"/>
      <c r="X32" s="125"/>
      <c r="Y32" s="125"/>
    </row>
    <row r="33" spans="1:25">
      <c r="A33" s="124" t="s">
        <v>184</v>
      </c>
      <c r="B33" s="75" t="s">
        <v>185</v>
      </c>
      <c r="F33" s="242"/>
      <c r="G33" s="242"/>
      <c r="H33" s="242"/>
      <c r="I33" s="242"/>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75"/>
  <cols>
    <col min="1" max="1" width="18.875" style="2" customWidth="1"/>
    <col min="2" max="2" width="38.625" style="2" bestFit="1" customWidth="1"/>
    <col min="3" max="3" width="19.75" style="174" bestFit="1" customWidth="1"/>
    <col min="4" max="4" width="26.125" style="2" customWidth="1"/>
    <col min="5" max="5" width="30.625" style="2" customWidth="1"/>
    <col min="6" max="6" width="17.625" style="2" customWidth="1"/>
    <col min="7" max="7" width="19.125" style="2" customWidth="1"/>
    <col min="8" max="8" width="7.125" style="2" customWidth="1"/>
    <col min="9" max="9" width="19.75" style="2" customWidth="1"/>
    <col min="10" max="16384" width="9" style="2"/>
  </cols>
  <sheetData>
    <row r="1" spans="1:11">
      <c r="H1" s="154" t="s">
        <v>243</v>
      </c>
      <c r="I1" s="246">
        <v>1980</v>
      </c>
    </row>
    <row r="2" spans="1:11">
      <c r="A2" s="143" t="s">
        <v>251</v>
      </c>
      <c r="B2" s="145" t="str" cm="1">
        <f t="array" ref="B2">_xlfn.IFS(I1&lt;850,VLOOKUP(I1,[1]บังคับคดี!$B:$ZZ,60,0),AND(I1&gt;=850,I1&lt;1435),VLOOKUP(I1,'[1]บังคับคดีใหม่ ปี2563-2564'!$B:$ZZ,63,0),I1&gt;=1435,VLOOKUP(I1,'[1]สืบทรัพย์ ปี 2564-25666'!$B:$ZZ,71,0))</f>
        <v xml:space="preserve">นางอนงค์  แสงทอง </v>
      </c>
      <c r="C2" s="175" t="s">
        <v>73</v>
      </c>
      <c r="D2" s="145" t="str" cm="1">
        <f t="array" ref="D2">_xlfn.IFS(I1&lt;850,VLOOKUP(I1,[1]บังคับคดี!$B:$ZZ,10,0),AND(I1&gt;=850,I1&lt;1435),VLOOKUP(I1,'[1]บังคับคดีใหม่ ปี2563-2564'!$B:$ZZ,11,0),I1&gt;=1435,VLOOKUP(I1,'[1]สืบทรัพย์ ปี 2564-25666'!$B:$ZZ,11,0))</f>
        <v>บ่อสร้าง</v>
      </c>
      <c r="E2" s="153" t="s">
        <v>256</v>
      </c>
      <c r="F2" s="145">
        <v>2</v>
      </c>
      <c r="I2" s="246"/>
    </row>
    <row r="3" spans="1:11">
      <c r="A3" s="143" t="s">
        <v>252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cm="1">
        <f t="array" ref="D3">_xlfn.IFS(I1&lt;850,VLOOKUP(I1,[1]บังคับคดี!$B:$ZZ,59,0),AND(I1&gt;=850,I1&lt;1435),VLOOKUP(I1,'[1]บังคับคดีใหม่ ปี2563-2564'!$B:$ZZ,64,0),I1&gt;=1435,VLOOKUP(I1,'[1]สืบทรัพย์ ปี 2564-25666'!$B:$ZZ,72,0))</f>
        <v>823659010619</v>
      </c>
      <c r="E3" s="153" t="s">
        <v>255</v>
      </c>
      <c r="F3" s="149"/>
      <c r="I3" s="246"/>
    </row>
    <row r="4" spans="1:11">
      <c r="A4" s="143" t="s">
        <v>253</v>
      </c>
      <c r="B4" s="146" cm="1">
        <f t="array" ref="B4">_xlfn.IFS(I1&lt;850,VLOOKUP(I1,[1]บังคับคดี!$B:$ZZ,5,0),AND(I1&gt;=850,I1&lt;1435),VLOOKUP(I1,'[1]บังคับคดีใหม่ ปี2563-2564'!$B:$ZZ,6,0),I1&gt;=1435,VLOOKUP(I1,'[1]สืบทรัพย์ ปี 2564-25666'!$B:$ZZ,6,0))</f>
        <v>800026660806</v>
      </c>
      <c r="C4" s="176" t="s">
        <v>264</v>
      </c>
      <c r="D4" s="219">
        <v>241176</v>
      </c>
      <c r="E4" s="222" t="s">
        <v>336</v>
      </c>
      <c r="F4" s="219"/>
      <c r="I4" s="157" t="s">
        <v>245</v>
      </c>
    </row>
    <row r="5" spans="1:11">
      <c r="A5" s="143" t="s">
        <v>254</v>
      </c>
      <c r="B5" s="144" t="str" cm="1">
        <f t="array" ref="B5">_xlfn.IFS(I1&lt;850,VLOOKUP(I1,[1]บังคับคดี!$B:$ZZ,17,0),AND(I1&gt;=850,I1&lt;1435),VLOOKUP(I1,'[1]บังคับคดีใหม่ ปี2563-2564'!$B:$ZZ,18,0),I1&gt;=1435,VLOOKUP(I1,'[1]สืบทรัพย์ ปี 2564-25666'!$B:$ZZ,18,0))</f>
        <v>แขวงเชียงใหม่</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ผบ.454/2560</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ผบ.1894/2560</v>
      </c>
      <c r="I5" s="157" t="s">
        <v>257</v>
      </c>
    </row>
    <row r="6" spans="1:11">
      <c r="A6" s="153" t="s">
        <v>337</v>
      </c>
      <c r="B6" s="171">
        <v>110881.60000000001</v>
      </c>
      <c r="C6" s="225" t="s">
        <v>346</v>
      </c>
      <c r="D6" s="148">
        <v>243996</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353</v>
      </c>
      <c r="C12" s="203">
        <v>3501400100291</v>
      </c>
      <c r="D12" s="152"/>
      <c r="E12" s="158"/>
      <c r="F12" s="169"/>
      <c r="G12" s="152"/>
      <c r="I12" s="247" t="s">
        <v>242</v>
      </c>
      <c r="J12" s="247"/>
      <c r="K12" s="247"/>
    </row>
    <row r="13" spans="1:11" s="151" customFormat="1">
      <c r="A13" s="165" t="str">
        <f>IF(B14="","คู่สมรส","คู่สมรสจำเลยที่ 1")</f>
        <v>คู่สมรสจำเลยที่ 1</v>
      </c>
      <c r="B13" s="158" t="s">
        <v>354</v>
      </c>
      <c r="C13" s="203">
        <v>3509901410495</v>
      </c>
      <c r="D13" s="152"/>
      <c r="E13" s="158"/>
      <c r="F13" s="169"/>
      <c r="G13" s="152"/>
      <c r="I13" s="247"/>
      <c r="J13" s="247"/>
      <c r="K13" s="247"/>
    </row>
    <row r="14" spans="1:11" s="151" customFormat="1">
      <c r="A14" s="165" t="s">
        <v>212</v>
      </c>
      <c r="B14" s="158" t="s">
        <v>355</v>
      </c>
      <c r="C14" s="203">
        <v>3501400100305</v>
      </c>
      <c r="D14" s="152"/>
      <c r="E14" s="158"/>
      <c r="F14" s="169"/>
      <c r="G14" s="152"/>
      <c r="I14" s="166" t="s">
        <v>248</v>
      </c>
      <c r="J14" s="166"/>
      <c r="K14" s="166"/>
    </row>
    <row r="15" spans="1:11" s="151" customFormat="1">
      <c r="A15" s="165" t="s">
        <v>214</v>
      </c>
      <c r="B15" s="158" t="s">
        <v>356</v>
      </c>
      <c r="C15" s="203">
        <v>3509900729587</v>
      </c>
      <c r="D15" s="152"/>
      <c r="E15" s="158"/>
      <c r="F15" s="169"/>
      <c r="G15" s="152"/>
      <c r="I15" s="166" t="s">
        <v>249</v>
      </c>
      <c r="J15" s="166"/>
      <c r="K15" s="166"/>
    </row>
    <row r="16" spans="1:11" s="151" customFormat="1">
      <c r="A16" s="165" t="s">
        <v>213</v>
      </c>
      <c r="B16" s="158"/>
      <c r="C16" s="203"/>
      <c r="D16" s="152"/>
      <c r="E16" s="158"/>
      <c r="F16" s="169"/>
      <c r="G16" s="152"/>
      <c r="I16" s="166" t="s">
        <v>338</v>
      </c>
      <c r="J16" s="166"/>
      <c r="K16" s="166"/>
    </row>
    <row r="17" spans="1:12" s="151" customFormat="1">
      <c r="A17" s="165" t="s">
        <v>215</v>
      </c>
      <c r="B17" s="158"/>
      <c r="C17" s="203"/>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1980 - รายงานผลสืบทรัพย์ ราย นางอนงค์  แสงทอง  สาขาบ่อสร้าง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K1"/>
      <c r="AL1" s="226">
        <f>YEAR(Sheet1!D6)</f>
        <v>2568</v>
      </c>
      <c r="AM1"/>
    </row>
    <row r="2" spans="1:43" ht="23.25">
      <c r="A2" s="248" t="str">
        <f>CONCATENATE("รายงานการสืบทรัพย์ (ข้อมูล ณ วันที่ ",TEXT(Sheet1!D6,"d ดดดด yyyy"),")")</f>
        <v>รายงานการสืบทรัพย์ (ข้อมูล ณ วันที่ 13 มกราคม 2568)</v>
      </c>
      <c r="B2" s="248"/>
      <c r="C2" s="248"/>
      <c r="D2" s="248"/>
      <c r="E2" s="248"/>
      <c r="F2" s="248"/>
      <c r="G2" s="248"/>
      <c r="H2" s="248"/>
      <c r="I2" s="248"/>
      <c r="J2" s="248"/>
      <c r="K2" s="248"/>
      <c r="L2" s="248"/>
      <c r="M2" s="248"/>
      <c r="N2" s="248"/>
      <c r="O2" s="248"/>
      <c r="P2" s="248"/>
      <c r="Q2" s="248"/>
      <c r="R2" s="248"/>
      <c r="S2" s="248"/>
      <c r="T2" s="248"/>
      <c r="U2" s="248"/>
      <c r="V2" s="248"/>
      <c r="W2" s="248"/>
      <c r="X2" s="248"/>
      <c r="Y2" s="248"/>
      <c r="Z2" s="248"/>
      <c r="AA2" s="248"/>
      <c r="AB2" s="248"/>
      <c r="AC2" s="248"/>
      <c r="AD2" s="248"/>
      <c r="AE2" s="248"/>
      <c r="AF2" s="248"/>
      <c r="AG2" s="248"/>
      <c r="AH2" s="248"/>
      <c r="AI2" s="248"/>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3" t="str">
        <f>Sheet1!B2</f>
        <v xml:space="preserve">นางอนงค์  แสงทอง </v>
      </c>
      <c r="F4" s="253"/>
      <c r="G4" s="253"/>
      <c r="H4" s="253"/>
      <c r="I4" s="253"/>
      <c r="J4" s="253"/>
      <c r="K4" s="253"/>
      <c r="L4" s="253"/>
      <c r="M4" s="253"/>
      <c r="N4" s="253"/>
      <c r="O4" s="253"/>
      <c r="P4" s="253"/>
      <c r="Q4" s="253"/>
      <c r="R4" s="253"/>
      <c r="S4" s="253"/>
      <c r="T4" s="253"/>
      <c r="U4" s="252" t="s">
        <v>73</v>
      </c>
      <c r="V4" s="252"/>
      <c r="W4" s="253" t="str">
        <f>Sheet1!D2</f>
        <v>บ่อสร้าง</v>
      </c>
      <c r="X4" s="253"/>
      <c r="Y4" s="253"/>
      <c r="Z4" s="253"/>
      <c r="AA4" s="253"/>
      <c r="AB4" s="253"/>
      <c r="AC4" s="253"/>
      <c r="AD4" s="253"/>
      <c r="AE4" s="253"/>
      <c r="AF4" s="253"/>
      <c r="AG4" s="253"/>
      <c r="AH4" s="253"/>
      <c r="AI4" s="253"/>
      <c r="AJ4" s="253"/>
      <c r="AK4" s="138"/>
      <c r="AL4" s="186" t="s">
        <v>261</v>
      </c>
      <c r="AM4" s="185" t="s">
        <v>343</v>
      </c>
      <c r="AO4" s="161" t="s">
        <v>241</v>
      </c>
      <c r="AP4" s="138"/>
      <c r="AQ4" s="138"/>
    </row>
    <row r="5" spans="1:43">
      <c r="A5" s="19" t="s">
        <v>206</v>
      </c>
      <c r="B5" s="137"/>
      <c r="D5" s="253" t="str">
        <f>Sheet1!B3</f>
        <v>สินเชื่อธนาคารประชาชน</v>
      </c>
      <c r="E5" s="253"/>
      <c r="F5" s="253"/>
      <c r="G5" s="253"/>
      <c r="H5" s="253"/>
      <c r="I5" s="253"/>
      <c r="J5" s="253"/>
      <c r="K5" s="253"/>
      <c r="L5" s="253"/>
      <c r="M5" s="253"/>
      <c r="N5" s="253"/>
      <c r="O5" s="253"/>
      <c r="P5" s="253"/>
      <c r="Q5" s="253"/>
      <c r="R5" s="253"/>
      <c r="S5" s="252" t="s">
        <v>208</v>
      </c>
      <c r="T5" s="252"/>
      <c r="U5" s="252"/>
      <c r="V5" s="252"/>
      <c r="W5" s="251">
        <f>IF(OR(Sheet1!D3=0,Sheet1!D3="-"),"-",Sheet1!D3)</f>
        <v>823659010619</v>
      </c>
      <c r="X5" s="251"/>
      <c r="Y5" s="251"/>
      <c r="Z5" s="251"/>
      <c r="AA5" s="251"/>
      <c r="AB5" s="251"/>
      <c r="AC5" s="251"/>
      <c r="AD5" s="251"/>
      <c r="AE5" s="251"/>
      <c r="AF5" s="251"/>
      <c r="AG5" s="251"/>
      <c r="AH5" s="251"/>
      <c r="AI5" s="251"/>
      <c r="AJ5" s="251"/>
      <c r="AK5" s="138"/>
      <c r="AL5" s="151" t="str">
        <f>CONCATENATE(Sheet1!I1,"(",RIGHT(AL1,2),") - รายงานผลสืบทรัพย์ ราย ",Sheet1!B2," ",Sheet1!C2,Sheet1!D2," (สืบรอบที่ ",Sheet1!F2,")",IF(Sheet1!B33=""," - ไม่พบทรัพย์",""))</f>
        <v>1980(68) - รายงานผลสืบทรัพย์ ราย นางอนงค์  แสงทอง  สาขาบ่อสร้าง (สืบรอบที่ 2) - ไม่พบทรัพย์</v>
      </c>
      <c r="AM5" s="138"/>
      <c r="AO5" s="162" t="s">
        <v>258</v>
      </c>
      <c r="AP5" s="138"/>
      <c r="AQ5" s="138"/>
    </row>
    <row r="6" spans="1:43">
      <c r="A6" s="19" t="s">
        <v>207</v>
      </c>
      <c r="B6" s="137"/>
      <c r="F6" s="257">
        <f>Sheet1!B4</f>
        <v>800026660806</v>
      </c>
      <c r="G6" s="258"/>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8"/>
      <c r="AG6" s="258"/>
      <c r="AH6" s="258"/>
      <c r="AI6" s="258"/>
      <c r="AJ6" s="258"/>
      <c r="AK6" s="138"/>
      <c r="AL6" s="2" t="s">
        <v>342</v>
      </c>
      <c r="AO6" s="162" t="s">
        <v>250</v>
      </c>
      <c r="AP6" s="138"/>
      <c r="AQ6" s="138"/>
    </row>
    <row r="7" spans="1:43">
      <c r="A7" s="19" t="s">
        <v>63</v>
      </c>
      <c r="B7" s="137"/>
      <c r="C7" s="253" t="str">
        <f>Sheet1!B5</f>
        <v>แขวงเชียงใหม่</v>
      </c>
      <c r="D7" s="253"/>
      <c r="E7" s="253"/>
      <c r="F7" s="253"/>
      <c r="G7" s="253"/>
      <c r="H7" s="253"/>
      <c r="I7" s="253"/>
      <c r="J7" s="253"/>
      <c r="K7" s="277" t="s">
        <v>209</v>
      </c>
      <c r="L7" s="277"/>
      <c r="M7" s="277"/>
      <c r="N7" s="277"/>
      <c r="O7" s="277"/>
      <c r="P7" s="277"/>
      <c r="Q7" s="254" t="str">
        <f>Sheet1!D5</f>
        <v>ผบ.454/2560</v>
      </c>
      <c r="R7" s="254"/>
      <c r="S7" s="254"/>
      <c r="T7" s="254"/>
      <c r="U7" s="254"/>
      <c r="V7" s="254"/>
      <c r="W7" s="254"/>
      <c r="X7" s="276" t="s">
        <v>210</v>
      </c>
      <c r="Y7" s="276"/>
      <c r="Z7" s="276"/>
      <c r="AA7" s="276"/>
      <c r="AB7" s="276"/>
      <c r="AC7" s="276"/>
      <c r="AD7" s="254" t="str">
        <f>Sheet1!F5</f>
        <v>ผบ.1894/2560</v>
      </c>
      <c r="AE7" s="254"/>
      <c r="AF7" s="254"/>
      <c r="AG7" s="254"/>
      <c r="AH7" s="254"/>
      <c r="AI7" s="254"/>
      <c r="AJ7" s="254"/>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5" t="str">
        <f>Sheet1!B12</f>
        <v>นางอนงค์ แสงทอง</v>
      </c>
      <c r="G9" s="255"/>
      <c r="H9" s="255"/>
      <c r="I9" s="255"/>
      <c r="J9" s="255"/>
      <c r="K9" s="255"/>
      <c r="L9" s="255"/>
      <c r="M9" s="255"/>
      <c r="N9" s="255"/>
      <c r="O9" s="255"/>
      <c r="P9" s="255"/>
      <c r="Q9" s="255"/>
      <c r="R9" s="255"/>
      <c r="S9" s="2" t="str">
        <f>Sheet1!A13</f>
        <v>คู่สมรสจำเลยที่ 1</v>
      </c>
      <c r="Y9" s="256" t="str">
        <f>Sheet1!B13</f>
        <v>นายพรพิทักษ์ แสงทอง</v>
      </c>
      <c r="Z9" s="256"/>
      <c r="AA9" s="256"/>
      <c r="AB9" s="256"/>
      <c r="AC9" s="256"/>
      <c r="AD9" s="256"/>
      <c r="AE9" s="256"/>
      <c r="AF9" s="256"/>
      <c r="AG9" s="256"/>
      <c r="AH9" s="256"/>
      <c r="AI9" s="256"/>
      <c r="AJ9" s="256"/>
      <c r="AK9" s="138"/>
      <c r="AN9" s="138"/>
      <c r="AO9" s="163" t="s">
        <v>235</v>
      </c>
      <c r="AP9" s="138"/>
      <c r="AQ9" s="138"/>
    </row>
    <row r="10" spans="1:43">
      <c r="A10" s="19"/>
      <c r="B10" s="2" t="s">
        <v>212</v>
      </c>
      <c r="F10" s="255" t="str">
        <f>Sheet1!B14</f>
        <v>นายวุฒิพงศ์ ภีระคำ</v>
      </c>
      <c r="G10" s="255"/>
      <c r="H10" s="255"/>
      <c r="I10" s="255"/>
      <c r="J10" s="255"/>
      <c r="K10" s="255"/>
      <c r="L10" s="255"/>
      <c r="M10" s="255"/>
      <c r="N10" s="255"/>
      <c r="O10" s="255"/>
      <c r="P10" s="255"/>
      <c r="Q10" s="255"/>
      <c r="R10" s="255"/>
      <c r="S10" s="2" t="s">
        <v>214</v>
      </c>
      <c r="Y10" s="256" t="str">
        <f>Sheet1!B15</f>
        <v>นางสุภาภรณ์ ภีระคำ</v>
      </c>
      <c r="Z10" s="256"/>
      <c r="AA10" s="256"/>
      <c r="AB10" s="256"/>
      <c r="AC10" s="256"/>
      <c r="AD10" s="256"/>
      <c r="AE10" s="256"/>
      <c r="AF10" s="256"/>
      <c r="AG10" s="256"/>
      <c r="AH10" s="256"/>
      <c r="AI10" s="256"/>
      <c r="AJ10" s="256"/>
      <c r="AK10" s="138"/>
      <c r="AN10" s="138"/>
      <c r="AO10" s="164" t="s">
        <v>236</v>
      </c>
      <c r="AP10" s="138"/>
      <c r="AQ10" s="138"/>
    </row>
    <row r="11" spans="1:43">
      <c r="A11" s="19"/>
      <c r="B11" s="2" t="s">
        <v>213</v>
      </c>
      <c r="F11" s="255">
        <f>Sheet1!B16</f>
        <v>0</v>
      </c>
      <c r="G11" s="255"/>
      <c r="H11" s="255"/>
      <c r="I11" s="255"/>
      <c r="J11" s="255"/>
      <c r="K11" s="255"/>
      <c r="L11" s="255"/>
      <c r="M11" s="255"/>
      <c r="N11" s="255"/>
      <c r="O11" s="255"/>
      <c r="P11" s="255"/>
      <c r="Q11" s="255"/>
      <c r="R11" s="255"/>
      <c r="S11" s="2" t="s">
        <v>215</v>
      </c>
      <c r="Y11" s="256">
        <f>Sheet1!B17</f>
        <v>0</v>
      </c>
      <c r="Z11" s="256"/>
      <c r="AA11" s="256"/>
      <c r="AB11" s="256"/>
      <c r="AC11" s="256"/>
      <c r="AD11" s="256"/>
      <c r="AE11" s="256"/>
      <c r="AF11" s="256"/>
      <c r="AG11" s="256"/>
      <c r="AH11" s="256"/>
      <c r="AI11" s="256"/>
      <c r="AJ11" s="256"/>
      <c r="AK11" s="138"/>
      <c r="AL11" s="138"/>
      <c r="AM11" s="138"/>
      <c r="AN11" s="138"/>
      <c r="AO11" s="164" t="s">
        <v>237</v>
      </c>
      <c r="AP11" s="138"/>
      <c r="AQ11" s="138"/>
    </row>
    <row r="12" spans="1:43" hidden="1">
      <c r="A12" s="19"/>
      <c r="B12" s="2" t="s">
        <v>216</v>
      </c>
      <c r="F12" s="255">
        <f>Sheet1!B18</f>
        <v>0</v>
      </c>
      <c r="G12" s="255"/>
      <c r="H12" s="255"/>
      <c r="I12" s="255"/>
      <c r="J12" s="255"/>
      <c r="K12" s="255"/>
      <c r="L12" s="255"/>
      <c r="M12" s="255"/>
      <c r="N12" s="255"/>
      <c r="O12" s="255"/>
      <c r="P12" s="255"/>
      <c r="Q12" s="255"/>
      <c r="R12" s="255"/>
      <c r="S12" s="2" t="s">
        <v>219</v>
      </c>
      <c r="Y12" s="256">
        <f>Sheet1!B19</f>
        <v>0</v>
      </c>
      <c r="Z12" s="256"/>
      <c r="AA12" s="256"/>
      <c r="AB12" s="256"/>
      <c r="AC12" s="256"/>
      <c r="AD12" s="256"/>
      <c r="AE12" s="256"/>
      <c r="AF12" s="256"/>
      <c r="AG12" s="256"/>
      <c r="AH12" s="256"/>
      <c r="AI12" s="256"/>
      <c r="AJ12" s="256"/>
      <c r="AK12" s="138"/>
      <c r="AL12" s="138"/>
      <c r="AM12" s="138"/>
      <c r="AN12" s="138"/>
      <c r="AO12" s="164"/>
      <c r="AP12" s="138"/>
      <c r="AQ12" s="138"/>
    </row>
    <row r="13" spans="1:43" hidden="1">
      <c r="A13" s="19"/>
      <c r="B13" s="2" t="s">
        <v>217</v>
      </c>
      <c r="F13" s="255">
        <f>Sheet1!B20</f>
        <v>0</v>
      </c>
      <c r="G13" s="255"/>
      <c r="H13" s="255"/>
      <c r="I13" s="255"/>
      <c r="J13" s="255"/>
      <c r="K13" s="255"/>
      <c r="L13" s="255"/>
      <c r="M13" s="255"/>
      <c r="N13" s="255"/>
      <c r="O13" s="255"/>
      <c r="P13" s="255"/>
      <c r="Q13" s="255"/>
      <c r="R13" s="255"/>
      <c r="S13" s="2" t="s">
        <v>220</v>
      </c>
      <c r="Y13" s="256">
        <f>Sheet1!B21</f>
        <v>0</v>
      </c>
      <c r="Z13" s="256"/>
      <c r="AA13" s="256"/>
      <c r="AB13" s="256"/>
      <c r="AC13" s="256"/>
      <c r="AD13" s="256"/>
      <c r="AE13" s="256"/>
      <c r="AF13" s="256"/>
      <c r="AG13" s="256"/>
      <c r="AH13" s="256"/>
      <c r="AI13" s="256"/>
      <c r="AJ13" s="256"/>
      <c r="AK13" s="138"/>
      <c r="AL13" s="138"/>
      <c r="AM13" s="138"/>
      <c r="AN13" s="138"/>
      <c r="AO13" s="138"/>
      <c r="AP13" s="138"/>
      <c r="AQ13" s="138"/>
    </row>
    <row r="14" spans="1:43" hidden="1">
      <c r="A14" s="19"/>
      <c r="B14" s="2" t="s">
        <v>218</v>
      </c>
      <c r="F14" s="255">
        <f>Sheet1!B22</f>
        <v>0</v>
      </c>
      <c r="G14" s="255"/>
      <c r="H14" s="255"/>
      <c r="I14" s="255"/>
      <c r="J14" s="255"/>
      <c r="K14" s="255"/>
      <c r="L14" s="255"/>
      <c r="M14" s="255"/>
      <c r="N14" s="255"/>
      <c r="O14" s="255"/>
      <c r="P14" s="255"/>
      <c r="Q14" s="255"/>
      <c r="R14" s="255"/>
      <c r="S14" s="2" t="s">
        <v>221</v>
      </c>
      <c r="Y14" s="256">
        <f>Sheet1!B23</f>
        <v>0</v>
      </c>
      <c r="Z14" s="256"/>
      <c r="AA14" s="256"/>
      <c r="AB14" s="256"/>
      <c r="AC14" s="256"/>
      <c r="AD14" s="256"/>
      <c r="AE14" s="256"/>
      <c r="AF14" s="256"/>
      <c r="AG14" s="256"/>
      <c r="AH14" s="256"/>
      <c r="AI14" s="256"/>
      <c r="AJ14" s="256"/>
      <c r="AK14" s="138"/>
      <c r="AL14" s="138"/>
      <c r="AM14" s="138"/>
      <c r="AN14" s="138"/>
      <c r="AO14" s="138"/>
      <c r="AP14" s="138"/>
      <c r="AQ14" s="138"/>
    </row>
    <row r="15" spans="1:43" hidden="1">
      <c r="A15" s="19"/>
      <c r="B15" s="2" t="s">
        <v>224</v>
      </c>
      <c r="F15" s="255">
        <f>Sheet1!B24</f>
        <v>0</v>
      </c>
      <c r="G15" s="255"/>
      <c r="H15" s="255"/>
      <c r="I15" s="255"/>
      <c r="J15" s="255"/>
      <c r="K15" s="255"/>
      <c r="L15" s="255"/>
      <c r="M15" s="255"/>
      <c r="N15" s="255"/>
      <c r="O15" s="255"/>
      <c r="P15" s="255"/>
      <c r="Q15" s="255"/>
      <c r="R15" s="255"/>
      <c r="S15" s="2" t="s">
        <v>228</v>
      </c>
      <c r="Y15" s="256">
        <f>Sheet1!B25</f>
        <v>0</v>
      </c>
      <c r="Z15" s="256"/>
      <c r="AA15" s="256"/>
      <c r="AB15" s="256"/>
      <c r="AC15" s="256"/>
      <c r="AD15" s="256"/>
      <c r="AE15" s="256"/>
      <c r="AF15" s="256"/>
      <c r="AG15" s="256"/>
      <c r="AH15" s="256"/>
      <c r="AI15" s="256"/>
      <c r="AJ15" s="256"/>
      <c r="AK15" s="138"/>
      <c r="AL15" s="138"/>
      <c r="AM15" s="138"/>
      <c r="AN15" s="138"/>
      <c r="AO15" s="138"/>
      <c r="AP15" s="138"/>
      <c r="AQ15" s="138"/>
    </row>
    <row r="16" spans="1:43" hidden="1">
      <c r="A16" s="19"/>
      <c r="B16" s="2" t="s">
        <v>225</v>
      </c>
      <c r="F16" s="255">
        <f>Sheet1!B26</f>
        <v>0</v>
      </c>
      <c r="G16" s="255"/>
      <c r="H16" s="255"/>
      <c r="I16" s="255"/>
      <c r="J16" s="255"/>
      <c r="K16" s="255"/>
      <c r="L16" s="255"/>
      <c r="M16" s="255"/>
      <c r="N16" s="255"/>
      <c r="O16" s="255"/>
      <c r="P16" s="255"/>
      <c r="Q16" s="255"/>
      <c r="R16" s="255"/>
      <c r="S16" s="2" t="s">
        <v>229</v>
      </c>
      <c r="Y16" s="256">
        <f>Sheet1!B27</f>
        <v>0</v>
      </c>
      <c r="Z16" s="256"/>
      <c r="AA16" s="256"/>
      <c r="AB16" s="256"/>
      <c r="AC16" s="256"/>
      <c r="AD16" s="256"/>
      <c r="AE16" s="256"/>
      <c r="AF16" s="256"/>
      <c r="AG16" s="256"/>
      <c r="AH16" s="256"/>
      <c r="AI16" s="256"/>
      <c r="AJ16" s="256"/>
      <c r="AK16" s="138"/>
      <c r="AL16" s="138"/>
      <c r="AM16" s="138"/>
      <c r="AN16" s="138"/>
      <c r="AO16" s="138"/>
      <c r="AP16" s="138"/>
      <c r="AQ16" s="138"/>
    </row>
    <row r="17" spans="1:43" hidden="1">
      <c r="A17" s="19"/>
      <c r="B17" s="2" t="s">
        <v>226</v>
      </c>
      <c r="F17" s="255">
        <f>Sheet1!B28</f>
        <v>0</v>
      </c>
      <c r="G17" s="255"/>
      <c r="H17" s="255"/>
      <c r="I17" s="255"/>
      <c r="J17" s="255"/>
      <c r="K17" s="255"/>
      <c r="L17" s="255"/>
      <c r="M17" s="255"/>
      <c r="N17" s="255"/>
      <c r="O17" s="255"/>
      <c r="P17" s="255"/>
      <c r="Q17" s="255"/>
      <c r="R17" s="255"/>
      <c r="S17" s="2" t="s">
        <v>230</v>
      </c>
      <c r="Y17" s="256">
        <f>Sheet1!B29</f>
        <v>0</v>
      </c>
      <c r="Z17" s="256"/>
      <c r="AA17" s="256"/>
      <c r="AB17" s="256"/>
      <c r="AC17" s="256"/>
      <c r="AD17" s="256"/>
      <c r="AE17" s="256"/>
      <c r="AF17" s="256"/>
      <c r="AG17" s="256"/>
      <c r="AH17" s="256"/>
      <c r="AI17" s="256"/>
      <c r="AJ17" s="256"/>
      <c r="AK17" s="138"/>
      <c r="AL17" s="138"/>
      <c r="AM17" s="138"/>
      <c r="AN17" s="138"/>
      <c r="AO17" s="138"/>
      <c r="AP17" s="138"/>
      <c r="AQ17" s="138"/>
    </row>
    <row r="18" spans="1:43" hidden="1">
      <c r="A18" s="19"/>
      <c r="B18" s="2" t="s">
        <v>227</v>
      </c>
      <c r="F18" s="255">
        <f>Sheet1!B30</f>
        <v>0</v>
      </c>
      <c r="G18" s="255"/>
      <c r="H18" s="255"/>
      <c r="I18" s="255"/>
      <c r="J18" s="255"/>
      <c r="K18" s="255"/>
      <c r="L18" s="255"/>
      <c r="M18" s="255"/>
      <c r="N18" s="255"/>
      <c r="O18" s="255"/>
      <c r="P18" s="255"/>
      <c r="Q18" s="255"/>
      <c r="R18" s="255"/>
      <c r="S18" s="2" t="s">
        <v>223</v>
      </c>
      <c r="Y18" s="256">
        <f>Sheet1!B31</f>
        <v>0</v>
      </c>
      <c r="Z18" s="256"/>
      <c r="AA18" s="256"/>
      <c r="AB18" s="256"/>
      <c r="AC18" s="256"/>
      <c r="AD18" s="256"/>
      <c r="AE18" s="256"/>
      <c r="AF18" s="256"/>
      <c r="AG18" s="256"/>
      <c r="AH18" s="256"/>
      <c r="AI18" s="256"/>
      <c r="AJ18" s="256"/>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9" t="s">
        <v>205</v>
      </c>
      <c r="B20" s="249"/>
      <c r="C20" s="249"/>
      <c r="D20" s="249"/>
      <c r="E20" s="249"/>
      <c r="F20" s="249"/>
      <c r="G20" s="249" t="s">
        <v>222</v>
      </c>
      <c r="H20" s="249"/>
      <c r="I20" s="249"/>
      <c r="J20" s="249"/>
      <c r="K20" s="249"/>
      <c r="L20" s="249"/>
      <c r="M20" s="249"/>
      <c r="N20" s="249"/>
      <c r="O20" s="249"/>
      <c r="P20" s="249"/>
      <c r="Q20" s="249"/>
      <c r="R20" s="249"/>
      <c r="S20" s="249"/>
      <c r="T20" s="249" t="s">
        <v>263</v>
      </c>
      <c r="U20" s="249"/>
      <c r="V20" s="249"/>
      <c r="W20" s="249"/>
      <c r="X20" s="259" t="s">
        <v>233</v>
      </c>
      <c r="Y20" s="259"/>
      <c r="Z20" s="259"/>
      <c r="AA20" s="259"/>
      <c r="AB20" s="259"/>
      <c r="AC20" s="259"/>
      <c r="AD20" s="259"/>
      <c r="AE20" s="259"/>
      <c r="AF20" s="259"/>
      <c r="AG20" s="259"/>
      <c r="AH20" s="259"/>
      <c r="AI20" s="259"/>
      <c r="AJ20" s="259"/>
      <c r="AK20" s="138"/>
      <c r="AL20" s="138"/>
      <c r="AM20" s="138"/>
      <c r="AN20" s="138"/>
      <c r="AO20" s="138"/>
      <c r="AP20" s="138"/>
      <c r="AQ20" s="138"/>
    </row>
    <row r="21" spans="1:43" ht="64.5" customHeight="1">
      <c r="A21" s="250" t="str">
        <f>IF(F9=0,"ซ่อนช่อง",B9)</f>
        <v>จำเลยที่ 1</v>
      </c>
      <c r="B21" s="250"/>
      <c r="C21" s="250"/>
      <c r="D21" s="250"/>
      <c r="E21" s="250"/>
      <c r="F21" s="250"/>
      <c r="G21" s="261" t="s">
        <v>234</v>
      </c>
      <c r="H21" s="261"/>
      <c r="I21" s="261"/>
      <c r="J21" s="261"/>
      <c r="K21" s="261"/>
      <c r="L21" s="261"/>
      <c r="M21" s="261"/>
      <c r="N21" s="261"/>
      <c r="O21" s="261"/>
      <c r="P21" s="261"/>
      <c r="Q21" s="261"/>
      <c r="R21" s="261"/>
      <c r="S21" s="261"/>
      <c r="T21" s="262">
        <f>VLOOKUP(A21,Sheet1!A11:G31,4,0)</f>
        <v>0</v>
      </c>
      <c r="U21" s="262"/>
      <c r="V21" s="262"/>
      <c r="W21" s="262"/>
      <c r="X21" s="260">
        <f>IF(OR(T21="ไม่พบ",T21="-"),"-",VLOOKUP(A21,Sheet1!A11:G31,5,0))</f>
        <v>0</v>
      </c>
      <c r="Y21" s="260"/>
      <c r="Z21" s="260"/>
      <c r="AA21" s="260"/>
      <c r="AB21" s="260"/>
      <c r="AC21" s="260"/>
      <c r="AD21" s="260"/>
      <c r="AE21" s="260"/>
      <c r="AF21" s="260"/>
      <c r="AG21" s="260"/>
      <c r="AH21" s="260"/>
      <c r="AI21" s="260"/>
      <c r="AJ21" s="260"/>
      <c r="AK21" s="138"/>
      <c r="AL21" s="138"/>
      <c r="AM21" s="138"/>
      <c r="AN21" s="138"/>
      <c r="AO21" s="138"/>
      <c r="AP21" s="138"/>
      <c r="AQ21" s="138"/>
    </row>
    <row r="22" spans="1:43" ht="21.75" customHeight="1">
      <c r="A22" s="250"/>
      <c r="B22" s="250"/>
      <c r="C22" s="250"/>
      <c r="D22" s="250"/>
      <c r="E22" s="250"/>
      <c r="F22" s="250"/>
      <c r="G22" s="261" t="s">
        <v>262</v>
      </c>
      <c r="H22" s="261"/>
      <c r="I22" s="261"/>
      <c r="J22" s="261"/>
      <c r="K22" s="261"/>
      <c r="L22" s="261"/>
      <c r="M22" s="261"/>
      <c r="N22" s="261"/>
      <c r="O22" s="261"/>
      <c r="P22" s="261"/>
      <c r="Q22" s="261"/>
      <c r="R22" s="261"/>
      <c r="S22" s="26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0" t="str">
        <f>IF(Y9=0,"ซ่อนช่อง",S9)</f>
        <v>คู่สมรสจำเลยที่ 1</v>
      </c>
      <c r="B23" s="250"/>
      <c r="C23" s="250"/>
      <c r="D23" s="250"/>
      <c r="E23" s="250"/>
      <c r="F23" s="250"/>
      <c r="G23" s="261" t="s">
        <v>234</v>
      </c>
      <c r="H23" s="261"/>
      <c r="I23" s="261"/>
      <c r="J23" s="261"/>
      <c r="K23" s="261"/>
      <c r="L23" s="261"/>
      <c r="M23" s="261"/>
      <c r="N23" s="261"/>
      <c r="O23" s="261"/>
      <c r="P23" s="261"/>
      <c r="Q23" s="261"/>
      <c r="R23" s="261"/>
      <c r="S23" s="261"/>
      <c r="T23" s="262">
        <f>VLOOKUP(A23,Sheet1!A11:G31,4,0)</f>
        <v>0</v>
      </c>
      <c r="U23" s="262"/>
      <c r="V23" s="262"/>
      <c r="W23" s="262"/>
      <c r="X23" s="260">
        <f>IF(OR(T23="ไม่พบ",T23="-"),"-",VLOOKUP(A23,Sheet1!A11:G31,5,0))</f>
        <v>0</v>
      </c>
      <c r="Y23" s="260"/>
      <c r="Z23" s="260"/>
      <c r="AA23" s="260"/>
      <c r="AB23" s="260"/>
      <c r="AC23" s="260"/>
      <c r="AD23" s="260"/>
      <c r="AE23" s="260"/>
      <c r="AF23" s="260"/>
      <c r="AG23" s="260"/>
      <c r="AH23" s="260"/>
      <c r="AI23" s="260"/>
      <c r="AJ23" s="260"/>
      <c r="AK23" s="138"/>
      <c r="AL23" s="138"/>
      <c r="AM23" s="138"/>
      <c r="AN23" s="138"/>
      <c r="AO23" s="138"/>
      <c r="AP23" s="138"/>
      <c r="AQ23" s="138"/>
    </row>
    <row r="24" spans="1:43" ht="21.75" customHeight="1">
      <c r="A24" s="250"/>
      <c r="B24" s="250"/>
      <c r="C24" s="250"/>
      <c r="D24" s="250"/>
      <c r="E24" s="250"/>
      <c r="F24" s="250"/>
      <c r="G24" s="261" t="s">
        <v>262</v>
      </c>
      <c r="H24" s="261"/>
      <c r="I24" s="261"/>
      <c r="J24" s="261"/>
      <c r="K24" s="261"/>
      <c r="L24" s="261"/>
      <c r="M24" s="261"/>
      <c r="N24" s="261"/>
      <c r="O24" s="261"/>
      <c r="P24" s="261"/>
      <c r="Q24" s="261"/>
      <c r="R24" s="261"/>
      <c r="S24" s="26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0" t="str">
        <f>IF(F10=0,"ซ่อนช่อง","จำเลยที่ 2")</f>
        <v>จำเลยที่ 2</v>
      </c>
      <c r="B25" s="250"/>
      <c r="C25" s="250"/>
      <c r="D25" s="250"/>
      <c r="E25" s="250"/>
      <c r="F25" s="250"/>
      <c r="G25" s="261" t="s">
        <v>234</v>
      </c>
      <c r="H25" s="261"/>
      <c r="I25" s="261"/>
      <c r="J25" s="261"/>
      <c r="K25" s="261"/>
      <c r="L25" s="261"/>
      <c r="M25" s="261"/>
      <c r="N25" s="261"/>
      <c r="O25" s="261"/>
      <c r="P25" s="261"/>
      <c r="Q25" s="261"/>
      <c r="R25" s="261"/>
      <c r="S25" s="261"/>
      <c r="T25" s="263">
        <f>VLOOKUP(A25,Sheet1!A11:G31,4,0)</f>
        <v>0</v>
      </c>
      <c r="U25" s="264"/>
      <c r="V25" s="264"/>
      <c r="W25" s="265"/>
      <c r="X25" s="266">
        <f>IF(OR(T25="ไม่พบ",T25="-"),"-",VLOOKUP(A25,Sheet1!A11:G31,5,0))</f>
        <v>0</v>
      </c>
      <c r="Y25" s="267"/>
      <c r="Z25" s="267"/>
      <c r="AA25" s="267"/>
      <c r="AB25" s="267"/>
      <c r="AC25" s="267"/>
      <c r="AD25" s="267"/>
      <c r="AE25" s="267"/>
      <c r="AF25" s="267"/>
      <c r="AG25" s="267"/>
      <c r="AH25" s="267"/>
      <c r="AI25" s="267"/>
      <c r="AJ25" s="268"/>
      <c r="AK25" s="138"/>
      <c r="AL25" s="138"/>
      <c r="AM25" s="138"/>
      <c r="AN25" s="138"/>
      <c r="AO25" s="138"/>
      <c r="AP25" s="138"/>
      <c r="AQ25" s="138"/>
    </row>
    <row r="26" spans="1:43" ht="21.75" customHeight="1">
      <c r="A26" s="250"/>
      <c r="B26" s="250"/>
      <c r="C26" s="250"/>
      <c r="D26" s="250"/>
      <c r="E26" s="250"/>
      <c r="F26" s="250"/>
      <c r="G26" s="261" t="s">
        <v>262</v>
      </c>
      <c r="H26" s="261"/>
      <c r="I26" s="261"/>
      <c r="J26" s="261"/>
      <c r="K26" s="261"/>
      <c r="L26" s="261"/>
      <c r="M26" s="261"/>
      <c r="N26" s="261"/>
      <c r="O26" s="261"/>
      <c r="P26" s="261"/>
      <c r="Q26" s="261"/>
      <c r="R26" s="261"/>
      <c r="S26" s="26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0" t="str">
        <f>IF(Y10=0,"ซ่อนช่อง","คู่สมรสจำเลยที่ 2")</f>
        <v>คู่สมรสจำเลยที่ 2</v>
      </c>
      <c r="B27" s="250"/>
      <c r="C27" s="250"/>
      <c r="D27" s="250"/>
      <c r="E27" s="250"/>
      <c r="F27" s="250"/>
      <c r="G27" s="261" t="s">
        <v>234</v>
      </c>
      <c r="H27" s="261"/>
      <c r="I27" s="261"/>
      <c r="J27" s="261"/>
      <c r="K27" s="261"/>
      <c r="L27" s="261"/>
      <c r="M27" s="261"/>
      <c r="N27" s="261"/>
      <c r="O27" s="261"/>
      <c r="P27" s="261"/>
      <c r="Q27" s="261"/>
      <c r="R27" s="261"/>
      <c r="S27" s="261"/>
      <c r="T27" s="262">
        <f>VLOOKUP(A27,Sheet1!A11:G31,4,0)</f>
        <v>0</v>
      </c>
      <c r="U27" s="262"/>
      <c r="V27" s="262"/>
      <c r="W27" s="262"/>
      <c r="X27" s="260">
        <f>IF(OR(T27="ไม่พบ",T27="-"),"-",VLOOKUP(A27,Sheet1!A11:G31,5,0))</f>
        <v>0</v>
      </c>
      <c r="Y27" s="260"/>
      <c r="Z27" s="260"/>
      <c r="AA27" s="260"/>
      <c r="AB27" s="260"/>
      <c r="AC27" s="260"/>
      <c r="AD27" s="260"/>
      <c r="AE27" s="260"/>
      <c r="AF27" s="260"/>
      <c r="AG27" s="260"/>
      <c r="AH27" s="260"/>
      <c r="AI27" s="260"/>
      <c r="AJ27" s="260"/>
      <c r="AK27" s="138"/>
      <c r="AL27" s="138"/>
      <c r="AM27" s="138"/>
      <c r="AN27" s="138"/>
      <c r="AO27" s="138"/>
      <c r="AP27" s="138"/>
      <c r="AQ27" s="138"/>
    </row>
    <row r="28" spans="1:43" ht="21.75" customHeight="1">
      <c r="A28" s="250"/>
      <c r="B28" s="250"/>
      <c r="C28" s="250"/>
      <c r="D28" s="250"/>
      <c r="E28" s="250"/>
      <c r="F28" s="250"/>
      <c r="G28" s="261" t="s">
        <v>262</v>
      </c>
      <c r="H28" s="261"/>
      <c r="I28" s="261"/>
      <c r="J28" s="261"/>
      <c r="K28" s="261"/>
      <c r="L28" s="261"/>
      <c r="M28" s="261"/>
      <c r="N28" s="261"/>
      <c r="O28" s="261"/>
      <c r="P28" s="261"/>
      <c r="Q28" s="261"/>
      <c r="R28" s="261"/>
      <c r="S28" s="26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0" t="str">
        <f>IF(F11=0,"ซ่อนช่อง","จำเลยที่ 3")</f>
        <v>ซ่อนช่อง</v>
      </c>
      <c r="B29" s="250"/>
      <c r="C29" s="250"/>
      <c r="D29" s="250"/>
      <c r="E29" s="250"/>
      <c r="F29" s="250"/>
      <c r="G29" s="261" t="s">
        <v>234</v>
      </c>
      <c r="H29" s="261"/>
      <c r="I29" s="261"/>
      <c r="J29" s="261"/>
      <c r="K29" s="261"/>
      <c r="L29" s="261"/>
      <c r="M29" s="261"/>
      <c r="N29" s="261"/>
      <c r="O29" s="261"/>
      <c r="P29" s="261"/>
      <c r="Q29" s="261"/>
      <c r="R29" s="261"/>
      <c r="S29" s="261"/>
      <c r="T29" s="262" t="e">
        <f>VLOOKUP(A29,Sheet1!A11:G31,4,0)</f>
        <v>#N/A</v>
      </c>
      <c r="U29" s="262"/>
      <c r="V29" s="262"/>
      <c r="W29" s="262"/>
      <c r="X29" s="260" t="e">
        <f>IF(OR(T29="ไม่พบ",T29="-"),"-",VLOOKUP(A29,Sheet1!A11:G31,5,0))</f>
        <v>#N/A</v>
      </c>
      <c r="Y29" s="260"/>
      <c r="Z29" s="260"/>
      <c r="AA29" s="260"/>
      <c r="AB29" s="260"/>
      <c r="AC29" s="260"/>
      <c r="AD29" s="260"/>
      <c r="AE29" s="260"/>
      <c r="AF29" s="260"/>
      <c r="AG29" s="260"/>
      <c r="AH29" s="260"/>
      <c r="AI29" s="260"/>
      <c r="AJ29" s="260"/>
      <c r="AK29" s="138"/>
      <c r="AL29" s="138"/>
      <c r="AM29" s="138"/>
      <c r="AN29" s="138"/>
      <c r="AO29" s="138"/>
      <c r="AP29" s="138"/>
      <c r="AQ29" s="138"/>
    </row>
    <row r="30" spans="1:43" ht="21.75" customHeight="1">
      <c r="A30" s="250"/>
      <c r="B30" s="250"/>
      <c r="C30" s="250"/>
      <c r="D30" s="250"/>
      <c r="E30" s="250"/>
      <c r="F30" s="250"/>
      <c r="G30" s="261" t="s">
        <v>262</v>
      </c>
      <c r="H30" s="261"/>
      <c r="I30" s="261"/>
      <c r="J30" s="261"/>
      <c r="K30" s="261"/>
      <c r="L30" s="261"/>
      <c r="M30" s="261"/>
      <c r="N30" s="261"/>
      <c r="O30" s="261"/>
      <c r="P30" s="261"/>
      <c r="Q30" s="261"/>
      <c r="R30" s="261"/>
      <c r="S30" s="26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0" t="str">
        <f>IF(Y11=0,"ซ่อนช่อง","คู่สมรสจำเลยที่ 3")</f>
        <v>ซ่อนช่อง</v>
      </c>
      <c r="B31" s="250"/>
      <c r="C31" s="250"/>
      <c r="D31" s="250"/>
      <c r="E31" s="250"/>
      <c r="F31" s="250"/>
      <c r="G31" s="261" t="s">
        <v>234</v>
      </c>
      <c r="H31" s="261"/>
      <c r="I31" s="261"/>
      <c r="J31" s="261"/>
      <c r="K31" s="261"/>
      <c r="L31" s="261"/>
      <c r="M31" s="261"/>
      <c r="N31" s="261"/>
      <c r="O31" s="261"/>
      <c r="P31" s="261"/>
      <c r="Q31" s="261"/>
      <c r="R31" s="261"/>
      <c r="S31" s="261"/>
      <c r="T31" s="262" t="e">
        <f>VLOOKUP(A31,Sheet1!A11:G31,4,0)</f>
        <v>#N/A</v>
      </c>
      <c r="U31" s="262"/>
      <c r="V31" s="262"/>
      <c r="W31" s="262"/>
      <c r="X31" s="260" t="e">
        <f>IF(OR(T31="ไม่พบ",T31="-"),"-",VLOOKUP(A31,Sheet1!A11:G31,5,0))</f>
        <v>#N/A</v>
      </c>
      <c r="Y31" s="260"/>
      <c r="Z31" s="260"/>
      <c r="AA31" s="260"/>
      <c r="AB31" s="260"/>
      <c r="AC31" s="260"/>
      <c r="AD31" s="260"/>
      <c r="AE31" s="260"/>
      <c r="AF31" s="260"/>
      <c r="AG31" s="260"/>
      <c r="AH31" s="260"/>
      <c r="AI31" s="260"/>
      <c r="AJ31" s="260"/>
      <c r="AK31" s="138"/>
      <c r="AL31" s="138"/>
      <c r="AM31" s="138"/>
      <c r="AN31" s="138"/>
      <c r="AO31" s="138"/>
      <c r="AP31" s="138"/>
      <c r="AQ31" s="138"/>
    </row>
    <row r="32" spans="1:43" ht="21.75" customHeight="1">
      <c r="A32" s="250"/>
      <c r="B32" s="250"/>
      <c r="C32" s="250"/>
      <c r="D32" s="250"/>
      <c r="E32" s="250"/>
      <c r="F32" s="250"/>
      <c r="G32" s="261" t="s">
        <v>262</v>
      </c>
      <c r="H32" s="261"/>
      <c r="I32" s="261"/>
      <c r="J32" s="261"/>
      <c r="K32" s="261"/>
      <c r="L32" s="261"/>
      <c r="M32" s="261"/>
      <c r="N32" s="261"/>
      <c r="O32" s="261"/>
      <c r="P32" s="261"/>
      <c r="Q32" s="261"/>
      <c r="R32" s="261"/>
      <c r="S32" s="26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69" t="str">
        <f>IF(F12=0,"ซ่อนช่อง","จำเลยที่ 4")</f>
        <v>ซ่อนช่อง</v>
      </c>
      <c r="B33" s="270"/>
      <c r="C33" s="270"/>
      <c r="D33" s="270"/>
      <c r="E33" s="270"/>
      <c r="F33" s="271"/>
      <c r="G33" s="261" t="s">
        <v>234</v>
      </c>
      <c r="H33" s="261"/>
      <c r="I33" s="261"/>
      <c r="J33" s="261"/>
      <c r="K33" s="261"/>
      <c r="L33" s="261"/>
      <c r="M33" s="261"/>
      <c r="N33" s="261"/>
      <c r="O33" s="261"/>
      <c r="P33" s="261"/>
      <c r="Q33" s="261"/>
      <c r="R33" s="261"/>
      <c r="S33" s="261"/>
      <c r="T33" s="262" t="e">
        <f>VLOOKUP(A33,Sheet1!A11:G31,4,0)</f>
        <v>#N/A</v>
      </c>
      <c r="U33" s="262"/>
      <c r="V33" s="262"/>
      <c r="W33" s="262"/>
      <c r="X33" s="260" t="e">
        <f>IF(OR(T33="ไม่พบ",T33="-"),"-",VLOOKUP(A33,Sheet1!A11:G31,5,0))</f>
        <v>#N/A</v>
      </c>
      <c r="Y33" s="260"/>
      <c r="Z33" s="260"/>
      <c r="AA33" s="260"/>
      <c r="AB33" s="260"/>
      <c r="AC33" s="260"/>
      <c r="AD33" s="260"/>
      <c r="AE33" s="260"/>
      <c r="AF33" s="260"/>
      <c r="AG33" s="260"/>
      <c r="AH33" s="260"/>
      <c r="AI33" s="260"/>
      <c r="AJ33" s="260"/>
      <c r="AK33" s="138"/>
      <c r="AL33" s="138"/>
      <c r="AM33" s="138"/>
      <c r="AN33" s="138"/>
      <c r="AO33" s="138"/>
      <c r="AP33" s="138"/>
      <c r="AQ33" s="138"/>
    </row>
    <row r="34" spans="1:43" ht="21.75" hidden="1" customHeight="1">
      <c r="A34" s="272"/>
      <c r="B34" s="273"/>
      <c r="C34" s="273"/>
      <c r="D34" s="273"/>
      <c r="E34" s="273"/>
      <c r="F34" s="274"/>
      <c r="G34" s="261" t="s">
        <v>262</v>
      </c>
      <c r="H34" s="261"/>
      <c r="I34" s="261"/>
      <c r="J34" s="261"/>
      <c r="K34" s="261"/>
      <c r="L34" s="261"/>
      <c r="M34" s="261"/>
      <c r="N34" s="261"/>
      <c r="O34" s="261"/>
      <c r="P34" s="261"/>
      <c r="Q34" s="261"/>
      <c r="R34" s="261"/>
      <c r="S34" s="26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0" t="str">
        <f>IF(Y12=0,"ซ่อนช่อง","คู่สมรสจำเลยที่ 4")</f>
        <v>ซ่อนช่อง</v>
      </c>
      <c r="B35" s="250"/>
      <c r="C35" s="250"/>
      <c r="D35" s="250"/>
      <c r="E35" s="250"/>
      <c r="F35" s="250"/>
      <c r="G35" s="261" t="s">
        <v>234</v>
      </c>
      <c r="H35" s="261"/>
      <c r="I35" s="261"/>
      <c r="J35" s="261"/>
      <c r="K35" s="261"/>
      <c r="L35" s="261"/>
      <c r="M35" s="261"/>
      <c r="N35" s="261"/>
      <c r="O35" s="261"/>
      <c r="P35" s="261"/>
      <c r="Q35" s="261"/>
      <c r="R35" s="261"/>
      <c r="S35" s="261"/>
      <c r="T35" s="262" t="e">
        <f>VLOOKUP(A35,Sheet1!A11:G31,4,0)</f>
        <v>#N/A</v>
      </c>
      <c r="U35" s="262"/>
      <c r="V35" s="262"/>
      <c r="W35" s="262"/>
      <c r="X35" s="260" t="e">
        <f>IF(OR(T35="ไม่พบ",T35="-"),"-",VLOOKUP(A35,Sheet1!A11:G31,5,0))</f>
        <v>#N/A</v>
      </c>
      <c r="Y35" s="260"/>
      <c r="Z35" s="260"/>
      <c r="AA35" s="260"/>
      <c r="AB35" s="260"/>
      <c r="AC35" s="260"/>
      <c r="AD35" s="260"/>
      <c r="AE35" s="260"/>
      <c r="AF35" s="260"/>
      <c r="AG35" s="260"/>
      <c r="AH35" s="260"/>
      <c r="AI35" s="260"/>
      <c r="AJ35" s="260"/>
      <c r="AK35" s="138"/>
      <c r="AL35" s="138"/>
      <c r="AM35" s="138"/>
      <c r="AN35" s="138"/>
      <c r="AO35" s="138"/>
      <c r="AP35" s="138"/>
      <c r="AQ35" s="138"/>
    </row>
    <row r="36" spans="1:43" ht="21.75" hidden="1" customHeight="1">
      <c r="A36" s="250"/>
      <c r="B36" s="250"/>
      <c r="C36" s="250"/>
      <c r="D36" s="250"/>
      <c r="E36" s="250"/>
      <c r="F36" s="250"/>
      <c r="G36" s="261" t="s">
        <v>262</v>
      </c>
      <c r="H36" s="261"/>
      <c r="I36" s="261"/>
      <c r="J36" s="261"/>
      <c r="K36" s="261"/>
      <c r="L36" s="261"/>
      <c r="M36" s="261"/>
      <c r="N36" s="261"/>
      <c r="O36" s="261"/>
      <c r="P36" s="261"/>
      <c r="Q36" s="261"/>
      <c r="R36" s="261"/>
      <c r="S36" s="26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0" t="str">
        <f>IF(F13=0,"ซ่อนช่อง","จำเลยที่ 5")</f>
        <v>ซ่อนช่อง</v>
      </c>
      <c r="B37" s="250"/>
      <c r="C37" s="250"/>
      <c r="D37" s="250"/>
      <c r="E37" s="250"/>
      <c r="F37" s="250"/>
      <c r="G37" s="261" t="s">
        <v>234</v>
      </c>
      <c r="H37" s="261"/>
      <c r="I37" s="261"/>
      <c r="J37" s="261"/>
      <c r="K37" s="261"/>
      <c r="L37" s="261"/>
      <c r="M37" s="261"/>
      <c r="N37" s="261"/>
      <c r="O37" s="261"/>
      <c r="P37" s="261"/>
      <c r="Q37" s="261"/>
      <c r="R37" s="261"/>
      <c r="S37" s="261"/>
      <c r="T37" s="262" t="e">
        <f>VLOOKUP(A37,Sheet1!A11:G31,4,0)</f>
        <v>#N/A</v>
      </c>
      <c r="U37" s="262"/>
      <c r="V37" s="262"/>
      <c r="W37" s="262"/>
      <c r="X37" s="260" t="e">
        <f>IF(OR(T37="ไม่พบ",T37="-"),"-",VLOOKUP(A37,Sheet1!A11:G31,5,0))</f>
        <v>#N/A</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50"/>
      <c r="B38" s="250"/>
      <c r="C38" s="250"/>
      <c r="D38" s="250"/>
      <c r="E38" s="250"/>
      <c r="F38" s="250"/>
      <c r="G38" s="261" t="s">
        <v>262</v>
      </c>
      <c r="H38" s="261"/>
      <c r="I38" s="261"/>
      <c r="J38" s="261"/>
      <c r="K38" s="261"/>
      <c r="L38" s="261"/>
      <c r="M38" s="261"/>
      <c r="N38" s="261"/>
      <c r="O38" s="261"/>
      <c r="P38" s="261"/>
      <c r="Q38" s="261"/>
      <c r="R38" s="261"/>
      <c r="S38" s="26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0" t="str">
        <f>IF(Y13=0,"ซ่อนช่อง","คู่สมรสจำเลยที่ 5")</f>
        <v>ซ่อนช่อง</v>
      </c>
      <c r="B39" s="250"/>
      <c r="C39" s="250"/>
      <c r="D39" s="250"/>
      <c r="E39" s="250"/>
      <c r="F39" s="250"/>
      <c r="G39" s="261" t="s">
        <v>234</v>
      </c>
      <c r="H39" s="261"/>
      <c r="I39" s="261"/>
      <c r="J39" s="261"/>
      <c r="K39" s="261"/>
      <c r="L39" s="261"/>
      <c r="M39" s="261"/>
      <c r="N39" s="261"/>
      <c r="O39" s="261"/>
      <c r="P39" s="261"/>
      <c r="Q39" s="261"/>
      <c r="R39" s="261"/>
      <c r="S39" s="261"/>
      <c r="T39" s="262" t="e">
        <f>VLOOKUP(A39,Sheet1!A11:G31,4,0)</f>
        <v>#N/A</v>
      </c>
      <c r="U39" s="262"/>
      <c r="V39" s="262"/>
      <c r="W39" s="262"/>
      <c r="X39" s="260" t="e">
        <f>IF(OR(T39="ไม่พบ",T39="-"),"-",VLOOKUP(A39,Sheet1!A11:G31,5,0))</f>
        <v>#N/A</v>
      </c>
      <c r="Y39" s="260"/>
      <c r="Z39" s="260"/>
      <c r="AA39" s="260"/>
      <c r="AB39" s="260"/>
      <c r="AC39" s="260"/>
      <c r="AD39" s="260"/>
      <c r="AE39" s="260"/>
      <c r="AF39" s="260"/>
      <c r="AG39" s="260"/>
      <c r="AH39" s="260"/>
      <c r="AI39" s="260"/>
      <c r="AJ39" s="260"/>
      <c r="AK39" s="138"/>
      <c r="AL39" s="138"/>
      <c r="AM39" s="138"/>
      <c r="AN39" s="138"/>
      <c r="AO39" s="138"/>
      <c r="AP39" s="138"/>
      <c r="AQ39" s="138"/>
    </row>
    <row r="40" spans="1:43" ht="21.75" hidden="1" customHeight="1">
      <c r="A40" s="250"/>
      <c r="B40" s="250"/>
      <c r="C40" s="250"/>
      <c r="D40" s="250"/>
      <c r="E40" s="250"/>
      <c r="F40" s="250"/>
      <c r="G40" s="261" t="s">
        <v>262</v>
      </c>
      <c r="H40" s="261"/>
      <c r="I40" s="261"/>
      <c r="J40" s="261"/>
      <c r="K40" s="261"/>
      <c r="L40" s="261"/>
      <c r="M40" s="261"/>
      <c r="N40" s="261"/>
      <c r="O40" s="261"/>
      <c r="P40" s="261"/>
      <c r="Q40" s="261"/>
      <c r="R40" s="261"/>
      <c r="S40" s="26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0" t="str">
        <f>IF(F14=0,"ซ่อนช่อง","จำเลยที่ 6")</f>
        <v>ซ่อนช่อง</v>
      </c>
      <c r="B41" s="250"/>
      <c r="C41" s="250"/>
      <c r="D41" s="250"/>
      <c r="E41" s="250"/>
      <c r="F41" s="250"/>
      <c r="G41" s="261" t="s">
        <v>234</v>
      </c>
      <c r="H41" s="261"/>
      <c r="I41" s="261"/>
      <c r="J41" s="261"/>
      <c r="K41" s="261"/>
      <c r="L41" s="261"/>
      <c r="M41" s="261"/>
      <c r="N41" s="261"/>
      <c r="O41" s="261"/>
      <c r="P41" s="261"/>
      <c r="Q41" s="261"/>
      <c r="R41" s="261"/>
      <c r="S41" s="261"/>
      <c r="T41" s="262" t="e">
        <f>VLOOKUP(A41,Sheet1!A11:G31,4,0)</f>
        <v>#N/A</v>
      </c>
      <c r="U41" s="262"/>
      <c r="V41" s="262"/>
      <c r="W41" s="262"/>
      <c r="X41" s="260" t="e">
        <f>IF(OR(T41="ไม่พบ",T41="-"),"-",VLOOKUP(A41,Sheet1!A11:G31,5,0))</f>
        <v>#N/A</v>
      </c>
      <c r="Y41" s="260"/>
      <c r="Z41" s="260"/>
      <c r="AA41" s="260"/>
      <c r="AB41" s="260"/>
      <c r="AC41" s="260"/>
      <c r="AD41" s="260"/>
      <c r="AE41" s="260"/>
      <c r="AF41" s="260"/>
      <c r="AG41" s="260"/>
      <c r="AH41" s="260"/>
      <c r="AI41" s="260"/>
      <c r="AJ41" s="260"/>
      <c r="AK41" s="138"/>
      <c r="AL41" s="138"/>
      <c r="AM41" s="138"/>
      <c r="AN41" s="138"/>
      <c r="AO41" s="138"/>
      <c r="AP41" s="138"/>
      <c r="AQ41" s="138"/>
    </row>
    <row r="42" spans="1:43" ht="21.75" hidden="1" customHeight="1">
      <c r="A42" s="250"/>
      <c r="B42" s="250"/>
      <c r="C42" s="250"/>
      <c r="D42" s="250"/>
      <c r="E42" s="250"/>
      <c r="F42" s="250"/>
      <c r="G42" s="261" t="s">
        <v>262</v>
      </c>
      <c r="H42" s="261"/>
      <c r="I42" s="261"/>
      <c r="J42" s="261"/>
      <c r="K42" s="261"/>
      <c r="L42" s="261"/>
      <c r="M42" s="261"/>
      <c r="N42" s="261"/>
      <c r="O42" s="261"/>
      <c r="P42" s="261"/>
      <c r="Q42" s="261"/>
      <c r="R42" s="261"/>
      <c r="S42" s="26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0" t="str">
        <f>IF(Y14=0,"ซ่อนช่อง","คู่สมรสจำเลยที่ 6")</f>
        <v>ซ่อนช่อง</v>
      </c>
      <c r="B43" s="250"/>
      <c r="C43" s="250"/>
      <c r="D43" s="250"/>
      <c r="E43" s="250"/>
      <c r="F43" s="250"/>
      <c r="G43" s="261" t="s">
        <v>234</v>
      </c>
      <c r="H43" s="261"/>
      <c r="I43" s="261"/>
      <c r="J43" s="261"/>
      <c r="K43" s="261"/>
      <c r="L43" s="261"/>
      <c r="M43" s="261"/>
      <c r="N43" s="261"/>
      <c r="O43" s="261"/>
      <c r="P43" s="261"/>
      <c r="Q43" s="261"/>
      <c r="R43" s="261"/>
      <c r="S43" s="261"/>
      <c r="T43" s="262" t="e">
        <f>VLOOKUP(A43,Sheet1!A11:G31,4,0)</f>
        <v>#N/A</v>
      </c>
      <c r="U43" s="262"/>
      <c r="V43" s="262"/>
      <c r="W43" s="262"/>
      <c r="X43" s="260" t="e">
        <f>IF(OR(T43="ไม่พบ",T43="-"),"-",VLOOKUP(A43,Sheet1!A11:G31,5,0))</f>
        <v>#N/A</v>
      </c>
      <c r="Y43" s="260"/>
      <c r="Z43" s="260"/>
      <c r="AA43" s="260"/>
      <c r="AB43" s="260"/>
      <c r="AC43" s="260"/>
      <c r="AD43" s="260"/>
      <c r="AE43" s="260"/>
      <c r="AF43" s="260"/>
      <c r="AG43" s="260"/>
      <c r="AH43" s="260"/>
      <c r="AI43" s="260"/>
      <c r="AJ43" s="260"/>
      <c r="AK43" s="138"/>
      <c r="AL43" s="138"/>
      <c r="AM43" s="138"/>
      <c r="AN43" s="138"/>
      <c r="AO43" s="138"/>
      <c r="AP43" s="138"/>
      <c r="AQ43" s="138"/>
    </row>
    <row r="44" spans="1:43" ht="21.75" hidden="1" customHeight="1">
      <c r="A44" s="250"/>
      <c r="B44" s="250"/>
      <c r="C44" s="250"/>
      <c r="D44" s="250"/>
      <c r="E44" s="250"/>
      <c r="F44" s="250"/>
      <c r="G44" s="261" t="s">
        <v>262</v>
      </c>
      <c r="H44" s="261"/>
      <c r="I44" s="261"/>
      <c r="J44" s="261"/>
      <c r="K44" s="261"/>
      <c r="L44" s="261"/>
      <c r="M44" s="261"/>
      <c r="N44" s="261"/>
      <c r="O44" s="261"/>
      <c r="P44" s="261"/>
      <c r="Q44" s="261"/>
      <c r="R44" s="261"/>
      <c r="S44" s="26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0" t="str">
        <f>IF(F15=0,"ซ่อนช่อง","จำเลยที่ 7")</f>
        <v>ซ่อนช่อง</v>
      </c>
      <c r="B45" s="250"/>
      <c r="C45" s="250"/>
      <c r="D45" s="250"/>
      <c r="E45" s="250"/>
      <c r="F45" s="250"/>
      <c r="G45" s="261" t="s">
        <v>234</v>
      </c>
      <c r="H45" s="261"/>
      <c r="I45" s="261"/>
      <c r="J45" s="261"/>
      <c r="K45" s="261"/>
      <c r="L45" s="261"/>
      <c r="M45" s="261"/>
      <c r="N45" s="261"/>
      <c r="O45" s="261"/>
      <c r="P45" s="261"/>
      <c r="Q45" s="261"/>
      <c r="R45" s="261"/>
      <c r="S45" s="261"/>
      <c r="T45" s="262" t="e">
        <f>VLOOKUP(A45,Sheet1!A11:G31,4,0)</f>
        <v>#N/A</v>
      </c>
      <c r="U45" s="262"/>
      <c r="V45" s="262"/>
      <c r="W45" s="262"/>
      <c r="X45" s="260" t="e">
        <f>IF(OR(T45="ไม่พบ",T45="-"),"-",VLOOKUP(A45,Sheet1!A11:G31,5,0))</f>
        <v>#N/A</v>
      </c>
      <c r="Y45" s="260"/>
      <c r="Z45" s="260"/>
      <c r="AA45" s="260"/>
      <c r="AB45" s="260"/>
      <c r="AC45" s="260"/>
      <c r="AD45" s="260"/>
      <c r="AE45" s="260"/>
      <c r="AF45" s="260"/>
      <c r="AG45" s="260"/>
      <c r="AH45" s="260"/>
      <c r="AI45" s="260"/>
      <c r="AJ45" s="260"/>
      <c r="AK45" s="138"/>
      <c r="AL45" s="138"/>
      <c r="AM45" s="138"/>
      <c r="AN45" s="138"/>
      <c r="AO45" s="138"/>
      <c r="AP45" s="138"/>
      <c r="AQ45" s="138"/>
    </row>
    <row r="46" spans="1:43" ht="21.75" hidden="1" customHeight="1">
      <c r="A46" s="250"/>
      <c r="B46" s="250"/>
      <c r="C46" s="250"/>
      <c r="D46" s="250"/>
      <c r="E46" s="250"/>
      <c r="F46" s="250"/>
      <c r="G46" s="261" t="s">
        <v>262</v>
      </c>
      <c r="H46" s="261"/>
      <c r="I46" s="261"/>
      <c r="J46" s="261"/>
      <c r="K46" s="261"/>
      <c r="L46" s="261"/>
      <c r="M46" s="261"/>
      <c r="N46" s="261"/>
      <c r="O46" s="261"/>
      <c r="P46" s="261"/>
      <c r="Q46" s="261"/>
      <c r="R46" s="261"/>
      <c r="S46" s="26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0" t="str">
        <f>IF(Y15=0,"ซ่อนช่อง","คู่สมรสจำเลยที่ 7")</f>
        <v>ซ่อนช่อง</v>
      </c>
      <c r="B47" s="250"/>
      <c r="C47" s="250"/>
      <c r="D47" s="250"/>
      <c r="E47" s="250"/>
      <c r="F47" s="250"/>
      <c r="G47" s="261" t="s">
        <v>234</v>
      </c>
      <c r="H47" s="261"/>
      <c r="I47" s="261"/>
      <c r="J47" s="261"/>
      <c r="K47" s="261"/>
      <c r="L47" s="261"/>
      <c r="M47" s="261"/>
      <c r="N47" s="261"/>
      <c r="O47" s="261"/>
      <c r="P47" s="261"/>
      <c r="Q47" s="261"/>
      <c r="R47" s="261"/>
      <c r="S47" s="261"/>
      <c r="T47" s="262" t="e">
        <f>VLOOKUP(A47,Sheet1!A11:G31,4,0)</f>
        <v>#N/A</v>
      </c>
      <c r="U47" s="262"/>
      <c r="V47" s="262"/>
      <c r="W47" s="262"/>
      <c r="X47" s="260" t="e">
        <f>IF(OR(T47="ไม่พบ",T47="-"),"-",VLOOKUP(A47,Sheet1!A11:G31,5,0))</f>
        <v>#N/A</v>
      </c>
      <c r="Y47" s="260"/>
      <c r="Z47" s="260"/>
      <c r="AA47" s="260"/>
      <c r="AB47" s="260"/>
      <c r="AC47" s="260"/>
      <c r="AD47" s="260"/>
      <c r="AE47" s="260"/>
      <c r="AF47" s="260"/>
      <c r="AG47" s="260"/>
      <c r="AH47" s="260"/>
      <c r="AI47" s="260"/>
      <c r="AJ47" s="260"/>
      <c r="AK47" s="138"/>
      <c r="AL47" s="138"/>
      <c r="AM47" s="138"/>
      <c r="AN47" s="138"/>
      <c r="AO47" s="138"/>
      <c r="AP47" s="138"/>
      <c r="AQ47" s="138"/>
    </row>
    <row r="48" spans="1:43" ht="21.75" hidden="1" customHeight="1">
      <c r="A48" s="250"/>
      <c r="B48" s="250"/>
      <c r="C48" s="250"/>
      <c r="D48" s="250"/>
      <c r="E48" s="250"/>
      <c r="F48" s="250"/>
      <c r="G48" s="261" t="s">
        <v>262</v>
      </c>
      <c r="H48" s="261"/>
      <c r="I48" s="261"/>
      <c r="J48" s="261"/>
      <c r="K48" s="261"/>
      <c r="L48" s="261"/>
      <c r="M48" s="261"/>
      <c r="N48" s="261"/>
      <c r="O48" s="261"/>
      <c r="P48" s="261"/>
      <c r="Q48" s="261"/>
      <c r="R48" s="261"/>
      <c r="S48" s="26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0" t="str">
        <f>IF(F16=0,"ซ่อนช่อง","จำเลยที่ 8")</f>
        <v>ซ่อนช่อง</v>
      </c>
      <c r="B49" s="250"/>
      <c r="C49" s="250"/>
      <c r="D49" s="250"/>
      <c r="E49" s="250"/>
      <c r="F49" s="250"/>
      <c r="G49" s="261" t="s">
        <v>234</v>
      </c>
      <c r="H49" s="261"/>
      <c r="I49" s="261"/>
      <c r="J49" s="261"/>
      <c r="K49" s="261"/>
      <c r="L49" s="261"/>
      <c r="M49" s="261"/>
      <c r="N49" s="261"/>
      <c r="O49" s="261"/>
      <c r="P49" s="261"/>
      <c r="Q49" s="261"/>
      <c r="R49" s="261"/>
      <c r="S49" s="261"/>
      <c r="T49" s="262" t="e">
        <f>VLOOKUP(A49,Sheet1!A11:G31,4,0)</f>
        <v>#N/A</v>
      </c>
      <c r="U49" s="262"/>
      <c r="V49" s="262"/>
      <c r="W49" s="262"/>
      <c r="X49" s="260" t="e">
        <f>IF(OR(T49="ไม่พบ",T49="-"),"-",VLOOKUP(A49,Sheet1!A11:G31,5,0))</f>
        <v>#N/A</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0"/>
      <c r="B50" s="250"/>
      <c r="C50" s="250"/>
      <c r="D50" s="250"/>
      <c r="E50" s="250"/>
      <c r="F50" s="250"/>
      <c r="G50" s="261" t="s">
        <v>262</v>
      </c>
      <c r="H50" s="261"/>
      <c r="I50" s="261"/>
      <c r="J50" s="261"/>
      <c r="K50" s="261"/>
      <c r="L50" s="261"/>
      <c r="M50" s="261"/>
      <c r="N50" s="261"/>
      <c r="O50" s="261"/>
      <c r="P50" s="261"/>
      <c r="Q50" s="261"/>
      <c r="R50" s="261"/>
      <c r="S50" s="26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0" t="str">
        <f>IF(Y16=0,"ซ่อนช่อง","คู่สมรสจำเลยที่ 8")</f>
        <v>ซ่อนช่อง</v>
      </c>
      <c r="B51" s="250"/>
      <c r="C51" s="250"/>
      <c r="D51" s="250"/>
      <c r="E51" s="250"/>
      <c r="F51" s="250"/>
      <c r="G51" s="261" t="s">
        <v>234</v>
      </c>
      <c r="H51" s="261"/>
      <c r="I51" s="261"/>
      <c r="J51" s="261"/>
      <c r="K51" s="261"/>
      <c r="L51" s="261"/>
      <c r="M51" s="261"/>
      <c r="N51" s="261"/>
      <c r="O51" s="261"/>
      <c r="P51" s="261"/>
      <c r="Q51" s="261"/>
      <c r="R51" s="261"/>
      <c r="S51" s="261"/>
      <c r="T51" s="262" t="e">
        <f>VLOOKUP(A51,Sheet1!A11:G31,4,0)</f>
        <v>#N/A</v>
      </c>
      <c r="U51" s="262"/>
      <c r="V51" s="262"/>
      <c r="W51" s="262"/>
      <c r="X51" s="260" t="e">
        <f>IF(OR(T51="ไม่พบ",T51="-"),"-",VLOOKUP(A51,Sheet1!A11:G31,5,0))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0"/>
      <c r="B52" s="250"/>
      <c r="C52" s="250"/>
      <c r="D52" s="250"/>
      <c r="E52" s="250"/>
      <c r="F52" s="250"/>
      <c r="G52" s="261" t="s">
        <v>262</v>
      </c>
      <c r="H52" s="261"/>
      <c r="I52" s="261"/>
      <c r="J52" s="261"/>
      <c r="K52" s="261"/>
      <c r="L52" s="261"/>
      <c r="M52" s="261"/>
      <c r="N52" s="261"/>
      <c r="O52" s="261"/>
      <c r="P52" s="261"/>
      <c r="Q52" s="261"/>
      <c r="R52" s="261"/>
      <c r="S52" s="26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0" t="str">
        <f>IF(F17=0,"ซ่อนช่อง","จำเลยที่ 9")</f>
        <v>ซ่อนช่อง</v>
      </c>
      <c r="B53" s="250"/>
      <c r="C53" s="250"/>
      <c r="D53" s="250"/>
      <c r="E53" s="250"/>
      <c r="F53" s="250"/>
      <c r="G53" s="261" t="s">
        <v>234</v>
      </c>
      <c r="H53" s="261"/>
      <c r="I53" s="261"/>
      <c r="J53" s="261"/>
      <c r="K53" s="261"/>
      <c r="L53" s="261"/>
      <c r="M53" s="261"/>
      <c r="N53" s="261"/>
      <c r="O53" s="261"/>
      <c r="P53" s="261"/>
      <c r="Q53" s="261"/>
      <c r="R53" s="261"/>
      <c r="S53" s="261"/>
      <c r="T53" s="250" t="e">
        <f>VLOOKUP(A53,Sheet1!A11:G31,4,0)</f>
        <v>#N/A</v>
      </c>
      <c r="U53" s="250"/>
      <c r="V53" s="250"/>
      <c r="W53" s="250"/>
      <c r="X53" s="275" t="e">
        <f>VLOOKUP(A53,Sheet1!A11:G31,5,0)</f>
        <v>#N/A</v>
      </c>
      <c r="Y53" s="275"/>
      <c r="Z53" s="275"/>
      <c r="AA53" s="275"/>
      <c r="AB53" s="275"/>
      <c r="AC53" s="275"/>
      <c r="AD53" s="275"/>
      <c r="AE53" s="275"/>
      <c r="AF53" s="275"/>
      <c r="AG53" s="275"/>
      <c r="AH53" s="275"/>
      <c r="AI53" s="275"/>
      <c r="AJ53" s="275"/>
      <c r="AK53" s="138"/>
      <c r="AL53" s="138"/>
      <c r="AM53" s="138"/>
      <c r="AN53" s="138"/>
      <c r="AO53" s="138"/>
      <c r="AP53" s="138"/>
      <c r="AQ53" s="138"/>
    </row>
    <row r="54" spans="1:43" ht="21.75" hidden="1" customHeight="1">
      <c r="A54" s="250"/>
      <c r="B54" s="250"/>
      <c r="C54" s="250"/>
      <c r="D54" s="250"/>
      <c r="E54" s="250"/>
      <c r="F54" s="250"/>
      <c r="G54" s="261" t="s">
        <v>262</v>
      </c>
      <c r="H54" s="261"/>
      <c r="I54" s="261"/>
      <c r="J54" s="261"/>
      <c r="K54" s="261"/>
      <c r="L54" s="261"/>
      <c r="M54" s="261"/>
      <c r="N54" s="261"/>
      <c r="O54" s="261"/>
      <c r="P54" s="261"/>
      <c r="Q54" s="261"/>
      <c r="R54" s="261"/>
      <c r="S54" s="26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0" t="str">
        <f>IF(Y17=0,"ซ่อนช่อง","คู่สมรสจำเลยที่ 9")</f>
        <v>ซ่อนช่อง</v>
      </c>
      <c r="B55" s="250"/>
      <c r="C55" s="250"/>
      <c r="D55" s="250"/>
      <c r="E55" s="250"/>
      <c r="F55" s="250"/>
      <c r="G55" s="261" t="s">
        <v>234</v>
      </c>
      <c r="H55" s="261"/>
      <c r="I55" s="261"/>
      <c r="J55" s="261"/>
      <c r="K55" s="261"/>
      <c r="L55" s="261"/>
      <c r="M55" s="261"/>
      <c r="N55" s="261"/>
      <c r="O55" s="261"/>
      <c r="P55" s="261"/>
      <c r="Q55" s="261"/>
      <c r="R55" s="261"/>
      <c r="S55" s="261"/>
      <c r="T55" s="250" t="e">
        <f>VLOOKUP(A55,Sheet1!A11:G31,4,0)</f>
        <v>#N/A</v>
      </c>
      <c r="U55" s="250"/>
      <c r="V55" s="250"/>
      <c r="W55" s="250"/>
      <c r="X55" s="275" t="e">
        <f>VLOOKUP(A55,Sheet1!A11:G31,5,0)</f>
        <v>#N/A</v>
      </c>
      <c r="Y55" s="275"/>
      <c r="Z55" s="275"/>
      <c r="AA55" s="275"/>
      <c r="AB55" s="275"/>
      <c r="AC55" s="275"/>
      <c r="AD55" s="275"/>
      <c r="AE55" s="275"/>
      <c r="AF55" s="275"/>
      <c r="AG55" s="275"/>
      <c r="AH55" s="275"/>
      <c r="AI55" s="275"/>
      <c r="AJ55" s="275"/>
      <c r="AK55" s="138"/>
      <c r="AL55" s="138"/>
      <c r="AM55" s="138"/>
      <c r="AN55" s="138"/>
      <c r="AO55" s="138"/>
      <c r="AP55" s="138"/>
      <c r="AQ55" s="138"/>
    </row>
    <row r="56" spans="1:43" ht="21.75" hidden="1" customHeight="1">
      <c r="A56" s="250"/>
      <c r="B56" s="250"/>
      <c r="C56" s="250"/>
      <c r="D56" s="250"/>
      <c r="E56" s="250"/>
      <c r="F56" s="250"/>
      <c r="G56" s="261" t="s">
        <v>262</v>
      </c>
      <c r="H56" s="261"/>
      <c r="I56" s="261"/>
      <c r="J56" s="261"/>
      <c r="K56" s="261"/>
      <c r="L56" s="261"/>
      <c r="M56" s="261"/>
      <c r="N56" s="261"/>
      <c r="O56" s="261"/>
      <c r="P56" s="261"/>
      <c r="Q56" s="261"/>
      <c r="R56" s="261"/>
      <c r="S56" s="26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0" t="str">
        <f>IF(F18=0,"ซ่อนช่อง","จำเลยที่ 10")</f>
        <v>ซ่อนช่อง</v>
      </c>
      <c r="B57" s="250"/>
      <c r="C57" s="250"/>
      <c r="D57" s="250"/>
      <c r="E57" s="250"/>
      <c r="F57" s="250"/>
      <c r="G57" s="261" t="s">
        <v>234</v>
      </c>
      <c r="H57" s="261"/>
      <c r="I57" s="261"/>
      <c r="J57" s="261"/>
      <c r="K57" s="261"/>
      <c r="L57" s="261"/>
      <c r="M57" s="261"/>
      <c r="N57" s="261"/>
      <c r="O57" s="261"/>
      <c r="P57" s="261"/>
      <c r="Q57" s="261"/>
      <c r="R57" s="261"/>
      <c r="S57" s="261"/>
      <c r="T57" s="250" t="e">
        <f>VLOOKUP(A57,Sheet1!A11:G31,4,0)</f>
        <v>#N/A</v>
      </c>
      <c r="U57" s="250"/>
      <c r="V57" s="250"/>
      <c r="W57" s="250"/>
      <c r="X57" s="275" t="e">
        <f>VLOOKUP(A57,Sheet1!A11:G31,5,0)</f>
        <v>#N/A</v>
      </c>
      <c r="Y57" s="275"/>
      <c r="Z57" s="275"/>
      <c r="AA57" s="275"/>
      <c r="AB57" s="275"/>
      <c r="AC57" s="275"/>
      <c r="AD57" s="275"/>
      <c r="AE57" s="275"/>
      <c r="AF57" s="275"/>
      <c r="AG57" s="275"/>
      <c r="AH57" s="275"/>
      <c r="AI57" s="275"/>
      <c r="AJ57" s="275"/>
      <c r="AK57" s="138"/>
      <c r="AL57" s="138"/>
      <c r="AM57" s="138"/>
      <c r="AN57" s="138"/>
      <c r="AO57" s="138"/>
      <c r="AP57" s="138"/>
      <c r="AQ57" s="138"/>
    </row>
    <row r="58" spans="1:43" ht="21.75" hidden="1" customHeight="1">
      <c r="A58" s="250"/>
      <c r="B58" s="250"/>
      <c r="C58" s="250"/>
      <c r="D58" s="250"/>
      <c r="E58" s="250"/>
      <c r="F58" s="250"/>
      <c r="G58" s="261" t="s">
        <v>262</v>
      </c>
      <c r="H58" s="261"/>
      <c r="I58" s="261"/>
      <c r="J58" s="261"/>
      <c r="K58" s="261"/>
      <c r="L58" s="261"/>
      <c r="M58" s="261"/>
      <c r="N58" s="261"/>
      <c r="O58" s="261"/>
      <c r="P58" s="261"/>
      <c r="Q58" s="261"/>
      <c r="R58" s="261"/>
      <c r="S58" s="26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0" t="str">
        <f>IF(Y18=0,"ซ่อนช่อง","คู่สมรสจำเลยที่ 10")</f>
        <v>ซ่อนช่อง</v>
      </c>
      <c r="B59" s="250"/>
      <c r="C59" s="250"/>
      <c r="D59" s="250"/>
      <c r="E59" s="250"/>
      <c r="F59" s="250"/>
      <c r="G59" s="261" t="s">
        <v>234</v>
      </c>
      <c r="H59" s="261"/>
      <c r="I59" s="261"/>
      <c r="J59" s="261"/>
      <c r="K59" s="261"/>
      <c r="L59" s="261"/>
      <c r="M59" s="261"/>
      <c r="N59" s="261"/>
      <c r="O59" s="261"/>
      <c r="P59" s="261"/>
      <c r="Q59" s="261"/>
      <c r="R59" s="261"/>
      <c r="S59" s="261"/>
      <c r="T59" s="250" t="e">
        <f>VLOOKUP(A59,Sheet1!A11:G31,4,0)</f>
        <v>#N/A</v>
      </c>
      <c r="U59" s="250"/>
      <c r="V59" s="250"/>
      <c r="W59" s="250"/>
      <c r="X59" s="275" t="e">
        <f>VLOOKUP(A59,Sheet1!A11:G31,5,0)</f>
        <v>#N/A</v>
      </c>
      <c r="Y59" s="275"/>
      <c r="Z59" s="275"/>
      <c r="AA59" s="275"/>
      <c r="AB59" s="275"/>
      <c r="AC59" s="275"/>
      <c r="AD59" s="275"/>
      <c r="AE59" s="275"/>
      <c r="AF59" s="275"/>
      <c r="AG59" s="275"/>
      <c r="AH59" s="275"/>
      <c r="AI59" s="275"/>
      <c r="AJ59" s="275"/>
      <c r="AK59" s="138"/>
      <c r="AL59" s="138"/>
      <c r="AM59" s="138"/>
      <c r="AN59" s="138"/>
      <c r="AO59" s="138"/>
      <c r="AP59" s="138"/>
      <c r="AQ59" s="138"/>
    </row>
    <row r="60" spans="1:43" ht="21.6" hidden="1" customHeight="1">
      <c r="A60" s="250"/>
      <c r="B60" s="250"/>
      <c r="C60" s="250"/>
      <c r="D60" s="250"/>
      <c r="E60" s="250"/>
      <c r="F60" s="250"/>
      <c r="G60" s="261" t="s">
        <v>262</v>
      </c>
      <c r="H60" s="261"/>
      <c r="I60" s="261"/>
      <c r="J60" s="261"/>
      <c r="K60" s="261"/>
      <c r="L60" s="261"/>
      <c r="M60" s="261"/>
      <c r="N60" s="261"/>
      <c r="O60" s="261"/>
      <c r="P60" s="261"/>
      <c r="Q60" s="261"/>
      <c r="R60" s="261"/>
      <c r="S60" s="26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6" t="str">
        <f>IF(Sheet1!B33&lt;&gt;"","เห็นควรยึด","")</f>
        <v/>
      </c>
      <c r="G62" s="256"/>
      <c r="H62" s="256"/>
      <c r="I62" s="256"/>
      <c r="J62" s="256"/>
      <c r="K62" s="256"/>
      <c r="L62" s="256"/>
      <c r="M62" s="256"/>
      <c r="N62" s="256"/>
      <c r="O62" s="256"/>
      <c r="P62" s="256"/>
      <c r="Q62" s="256"/>
      <c r="R62" s="256"/>
      <c r="S62" s="256"/>
      <c r="T62" s="256"/>
      <c r="U62" s="256"/>
      <c r="V62" s="256"/>
      <c r="W62" s="256"/>
      <c r="X62" s="256"/>
      <c r="Y62" s="256"/>
      <c r="Z62" s="256"/>
      <c r="AA62" s="256"/>
      <c r="AB62" s="256"/>
      <c r="AC62" s="256"/>
      <c r="AD62" s="256"/>
      <c r="AE62" s="256"/>
      <c r="AF62" s="256"/>
      <c r="AG62" s="256"/>
      <c r="AH62" s="256"/>
      <c r="AI62" s="256"/>
      <c r="AJ62" s="138"/>
      <c r="AK62" s="138"/>
      <c r="AL62" s="138"/>
      <c r="AM62" s="138"/>
      <c r="AN62" s="138"/>
      <c r="AO62" s="138"/>
      <c r="AP62" s="138"/>
      <c r="AQ62" s="138"/>
    </row>
    <row r="63" spans="1:43">
      <c r="A63" s="19"/>
      <c r="B63" s="137"/>
      <c r="F63" s="256" t="str">
        <f>IF(Sheet1!B33&lt;&gt;"",Sheet1!B33,"")</f>
        <v/>
      </c>
      <c r="G63" s="256"/>
      <c r="H63" s="256"/>
      <c r="I63" s="256"/>
      <c r="J63" s="256"/>
      <c r="K63" s="256"/>
      <c r="L63" s="256"/>
      <c r="M63" s="256"/>
      <c r="N63" s="256"/>
      <c r="O63" s="256"/>
      <c r="P63" s="256"/>
      <c r="Q63" s="256"/>
      <c r="R63" s="256"/>
      <c r="S63" s="256"/>
      <c r="T63" s="256"/>
      <c r="U63" s="256"/>
      <c r="V63" s="256"/>
      <c r="W63" s="256"/>
      <c r="X63" s="256"/>
      <c r="Y63" s="256"/>
      <c r="Z63" s="256"/>
      <c r="AA63" s="256"/>
      <c r="AB63" s="256"/>
      <c r="AC63" s="256"/>
      <c r="AD63" s="256"/>
      <c r="AE63" s="256"/>
      <c r="AF63" s="256"/>
      <c r="AG63" s="256"/>
      <c r="AH63" s="256"/>
      <c r="AI63" s="256"/>
      <c r="AJ63" s="138"/>
      <c r="AK63" s="138"/>
      <c r="AL63" s="138"/>
      <c r="AM63" s="138"/>
      <c r="AN63" s="138"/>
      <c r="AO63" s="138"/>
      <c r="AP63" s="138"/>
      <c r="AQ63" s="138"/>
    </row>
    <row r="64" spans="1:43">
      <c r="A64" s="19"/>
      <c r="B64" s="137"/>
      <c r="F64" s="256" t="str">
        <f>IF(Sheet1!B33&lt;&gt;"",CONCATENATE(Sheet1!D33,"  ",IF(Sheet1!E33="ไม่พบ",Sheet1!E33,CONCATENATE(TEXT(Sheet1!E33,"#,##")," บาท ไม่รวมสิ่งปลูกสร้าง"))),"")</f>
        <v/>
      </c>
      <c r="G64" s="256"/>
      <c r="H64" s="256"/>
      <c r="I64" s="256"/>
      <c r="J64" s="256"/>
      <c r="K64" s="256"/>
      <c r="L64" s="256"/>
      <c r="M64" s="256"/>
      <c r="N64" s="256"/>
      <c r="O64" s="256"/>
      <c r="P64" s="256"/>
      <c r="Q64" s="256"/>
      <c r="R64" s="256"/>
      <c r="S64" s="256"/>
      <c r="T64" s="256"/>
      <c r="U64" s="256"/>
      <c r="V64" s="256"/>
      <c r="W64" s="256"/>
      <c r="X64" s="256"/>
      <c r="Y64" s="256"/>
      <c r="Z64" s="256"/>
      <c r="AA64" s="256"/>
      <c r="AB64" s="256"/>
      <c r="AC64" s="256"/>
      <c r="AD64" s="256"/>
      <c r="AE64" s="256"/>
      <c r="AF64" s="256"/>
      <c r="AG64" s="256"/>
      <c r="AH64" s="256"/>
      <c r="AI64" s="256"/>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2" priority="3">
      <formula>$A21="ซ่อนช่อง"</formula>
    </cfRule>
  </conditionalFormatting>
  <conditionalFormatting sqref="B9:B18">
    <cfRule type="expression" dxfId="1" priority="2">
      <formula>$F9=0</formula>
    </cfRule>
  </conditionalFormatting>
  <conditionalFormatting sqref="S9:S18">
    <cfRule type="expression" dxfId="0"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6" zoomScaleNormal="100" workbookViewId="0">
      <selection activeCell="AS13" sqref="AS13:AT13"/>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8"/>
      <c r="T1" s="278"/>
      <c r="U1" s="278"/>
      <c r="V1" s="278"/>
      <c r="W1" s="278"/>
      <c r="X1" s="278"/>
      <c r="Y1" s="278"/>
      <c r="AQ1" s="198" t="s">
        <v>291</v>
      </c>
      <c r="AR1" s="198"/>
    </row>
    <row r="2" spans="1:48" ht="10.5" customHeight="1">
      <c r="S2" s="140"/>
      <c r="T2" s="140"/>
      <c r="U2" s="140"/>
      <c r="V2" s="140"/>
      <c r="W2" s="140"/>
      <c r="X2" s="140"/>
      <c r="Y2" s="140"/>
      <c r="AQ2" s="198"/>
      <c r="AR2" s="198"/>
    </row>
    <row r="3" spans="1:48">
      <c r="O3" s="2" t="s">
        <v>267</v>
      </c>
      <c r="Q3" s="188"/>
      <c r="R3" s="279" t="s">
        <v>268</v>
      </c>
      <c r="S3" s="279"/>
      <c r="T3" s="279"/>
      <c r="U3" s="279"/>
      <c r="V3" s="279"/>
      <c r="W3" s="279"/>
      <c r="X3" s="279"/>
      <c r="Y3" s="279"/>
      <c r="Z3" s="279"/>
      <c r="AA3" s="279"/>
      <c r="AB3" s="279"/>
      <c r="AC3" s="279"/>
      <c r="AD3" s="279"/>
    </row>
    <row r="4" spans="1:48">
      <c r="A4" s="278" t="s">
        <v>265</v>
      </c>
      <c r="B4" s="278"/>
      <c r="C4" s="278"/>
      <c r="D4" s="278"/>
      <c r="E4" s="278"/>
      <c r="F4" s="278"/>
      <c r="G4" s="278"/>
      <c r="H4" s="278"/>
      <c r="I4" s="278"/>
      <c r="J4" s="278"/>
      <c r="K4" s="278"/>
      <c r="L4" s="278"/>
      <c r="M4" s="278"/>
      <c r="N4" s="278"/>
      <c r="O4" s="278"/>
      <c r="P4" s="278"/>
      <c r="Q4" s="278"/>
      <c r="R4" s="278"/>
      <c r="S4" s="278"/>
      <c r="T4" s="278"/>
      <c r="U4" s="278"/>
      <c r="V4" s="278"/>
      <c r="W4" s="278"/>
      <c r="X4" s="278"/>
      <c r="Y4" s="278"/>
      <c r="Z4" s="278"/>
      <c r="AA4" s="278"/>
      <c r="AB4" s="278"/>
      <c r="AC4" s="278"/>
      <c r="AD4" s="278"/>
      <c r="AE4" s="278"/>
      <c r="AF4" s="278"/>
      <c r="AG4" s="278"/>
      <c r="AH4" s="278"/>
      <c r="AI4" s="278"/>
      <c r="AJ4" s="278"/>
      <c r="AK4" s="278"/>
      <c r="AL4" s="278"/>
      <c r="AM4" s="278"/>
      <c r="AN4" s="278"/>
      <c r="AO4" s="278"/>
      <c r="AP4" s="278"/>
      <c r="AQ4" s="278"/>
      <c r="AR4" s="140"/>
    </row>
    <row r="5" spans="1:48">
      <c r="M5" s="2" t="s">
        <v>269</v>
      </c>
      <c r="P5" s="253"/>
      <c r="Q5" s="253"/>
      <c r="R5" s="253"/>
      <c r="S5" s="253"/>
      <c r="T5" s="253"/>
      <c r="U5" s="253"/>
      <c r="V5" s="253"/>
      <c r="W5" s="253"/>
      <c r="X5" s="253"/>
      <c r="Y5" s="253"/>
      <c r="Z5" s="253"/>
      <c r="AA5" s="253"/>
      <c r="AB5" s="253"/>
      <c r="AC5" s="253"/>
      <c r="AD5" s="253"/>
      <c r="AE5" s="253"/>
    </row>
    <row r="6" spans="1:48">
      <c r="AC6" s="143" t="s">
        <v>266</v>
      </c>
      <c r="AD6" s="253" t="s">
        <v>349</v>
      </c>
      <c r="AE6" s="253"/>
      <c r="AF6" s="253"/>
      <c r="AG6" s="253"/>
      <c r="AH6" s="253"/>
      <c r="AI6" s="253"/>
      <c r="AJ6" s="253"/>
      <c r="AK6" s="253"/>
      <c r="AL6" s="253"/>
      <c r="AM6" s="253"/>
      <c r="AN6" s="253"/>
      <c r="AO6" s="253"/>
      <c r="AP6" s="253"/>
      <c r="AQ6" s="253"/>
      <c r="AR6" s="140"/>
    </row>
    <row r="7" spans="1:48">
      <c r="X7" s="143" t="s">
        <v>62</v>
      </c>
      <c r="Y7" s="253"/>
      <c r="Z7" s="253"/>
      <c r="AA7" s="278" t="s">
        <v>270</v>
      </c>
      <c r="AB7" s="278"/>
      <c r="AC7" s="278"/>
      <c r="AD7" s="254"/>
      <c r="AE7" s="254"/>
      <c r="AF7" s="254"/>
      <c r="AG7" s="254"/>
      <c r="AH7" s="254"/>
      <c r="AI7" s="254"/>
      <c r="AJ7" s="281" t="s">
        <v>271</v>
      </c>
      <c r="AK7" s="281"/>
      <c r="AL7" s="281"/>
      <c r="AM7" s="281"/>
      <c r="AN7" s="281"/>
      <c r="AO7" s="254">
        <v>2568</v>
      </c>
      <c r="AP7" s="254"/>
      <c r="AQ7" s="254"/>
      <c r="AR7" s="140"/>
    </row>
    <row r="8" spans="1:48">
      <c r="D8" s="2" t="s">
        <v>272</v>
      </c>
      <c r="G8" s="258" t="s">
        <v>273</v>
      </c>
      <c r="H8" s="258"/>
      <c r="I8" s="258"/>
      <c r="J8" s="258"/>
      <c r="K8" s="258"/>
      <c r="L8" s="258"/>
      <c r="M8" s="258"/>
      <c r="N8" s="258"/>
      <c r="O8" s="258"/>
      <c r="P8" s="258"/>
      <c r="Q8" s="258"/>
      <c r="R8" s="258"/>
      <c r="S8" s="258"/>
      <c r="T8" s="258"/>
      <c r="U8" s="258"/>
      <c r="V8" s="258"/>
      <c r="W8" s="258"/>
      <c r="X8" s="258"/>
      <c r="Y8" s="258"/>
      <c r="Z8" s="258"/>
      <c r="AA8" s="258"/>
      <c r="AB8" s="278" t="s">
        <v>274</v>
      </c>
      <c r="AC8" s="278"/>
      <c r="AD8" s="278"/>
      <c r="AE8" s="278"/>
      <c r="AF8" s="253">
        <f>Sheet1!D8</f>
        <v>27</v>
      </c>
      <c r="AG8" s="253"/>
      <c r="AH8" s="253"/>
      <c r="AI8" s="253"/>
      <c r="AL8" s="143" t="s">
        <v>275</v>
      </c>
      <c r="AM8" s="253" t="s">
        <v>276</v>
      </c>
      <c r="AN8" s="253"/>
      <c r="AO8" s="253"/>
      <c r="AP8" s="253"/>
      <c r="AQ8" s="253"/>
      <c r="AR8" s="140"/>
    </row>
    <row r="9" spans="1:48">
      <c r="H9" s="2" t="str">
        <f>CONCATENATE("( โดย ",Sheet1!B8," (",TEXT(Sheet1!F8,"[$-,100]0-0000-00000-00-0"),") แทน )")</f>
        <v>( โดย นายปฏิยุทธ์ ฟองแก้ว (1-5601-00415-10-9) แทน )</v>
      </c>
      <c r="I9" s="189"/>
      <c r="J9" s="189"/>
    </row>
    <row r="10" spans="1:48">
      <c r="A10" s="278" t="s">
        <v>279</v>
      </c>
      <c r="B10" s="278"/>
      <c r="C10" s="278"/>
      <c r="D10" s="253" t="s">
        <v>276</v>
      </c>
      <c r="E10" s="253"/>
      <c r="F10" s="253"/>
      <c r="G10" s="253"/>
      <c r="H10" s="253"/>
      <c r="I10" s="278" t="s">
        <v>281</v>
      </c>
      <c r="J10" s="278"/>
      <c r="K10" s="278"/>
      <c r="L10" s="278"/>
      <c r="M10" s="278"/>
      <c r="N10" s="253">
        <v>470</v>
      </c>
      <c r="O10" s="253"/>
      <c r="P10" s="253"/>
      <c r="Q10" s="253"/>
      <c r="R10" s="278" t="s">
        <v>282</v>
      </c>
      <c r="S10" s="278"/>
      <c r="T10" s="253" t="s">
        <v>152</v>
      </c>
      <c r="U10" s="253"/>
      <c r="V10" s="253"/>
      <c r="W10" s="253"/>
      <c r="X10" s="278" t="s">
        <v>283</v>
      </c>
      <c r="Y10" s="278"/>
      <c r="Z10" s="253" t="s">
        <v>285</v>
      </c>
      <c r="AA10" s="253"/>
      <c r="AB10" s="253"/>
      <c r="AC10" s="253"/>
      <c r="AD10" s="253"/>
      <c r="AE10" s="253"/>
      <c r="AF10" s="253"/>
      <c r="AG10" s="253"/>
      <c r="AH10" s="278" t="s">
        <v>284</v>
      </c>
      <c r="AI10" s="278"/>
      <c r="AJ10" s="278"/>
      <c r="AK10" s="278"/>
      <c r="AL10" s="253" t="s">
        <v>152</v>
      </c>
      <c r="AM10" s="253"/>
      <c r="AN10" s="253"/>
      <c r="AO10" s="253"/>
      <c r="AP10" s="253"/>
      <c r="AQ10" s="253"/>
      <c r="AR10" s="140"/>
    </row>
    <row r="11" spans="1:48">
      <c r="A11" s="2" t="s">
        <v>280</v>
      </c>
      <c r="F11" s="253" t="s">
        <v>288</v>
      </c>
      <c r="G11" s="253"/>
      <c r="H11" s="253"/>
      <c r="I11" s="253"/>
      <c r="J11" s="253"/>
      <c r="K11" s="253"/>
      <c r="L11" s="278" t="s">
        <v>286</v>
      </c>
      <c r="M11" s="278"/>
      <c r="N11" s="278"/>
      <c r="O11" s="278"/>
      <c r="P11" s="253" t="s">
        <v>345</v>
      </c>
      <c r="Q11" s="253"/>
      <c r="R11" s="253"/>
      <c r="S11" s="253"/>
      <c r="T11" s="253"/>
      <c r="U11" s="253"/>
      <c r="V11" s="253"/>
      <c r="W11" s="253"/>
      <c r="X11" s="278" t="s">
        <v>287</v>
      </c>
      <c r="Y11" s="278"/>
      <c r="Z11" s="278"/>
      <c r="AA11" s="254" t="s">
        <v>292</v>
      </c>
      <c r="AB11" s="254"/>
      <c r="AC11" s="254"/>
      <c r="AD11" s="254"/>
      <c r="AE11" s="254"/>
      <c r="AF11" s="254"/>
      <c r="AG11" s="254"/>
      <c r="AH11" s="278" t="s">
        <v>289</v>
      </c>
      <c r="AI11" s="278"/>
      <c r="AJ11" s="253" t="s">
        <v>351</v>
      </c>
      <c r="AK11" s="253"/>
      <c r="AL11" s="253"/>
      <c r="AM11" s="253"/>
      <c r="AN11" s="253"/>
      <c r="AO11" s="253"/>
      <c r="AP11" s="253"/>
      <c r="AQ11" s="253"/>
      <c r="AR11" s="140"/>
    </row>
    <row r="12" spans="1:48">
      <c r="A12" s="280"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0"/>
      <c r="C12" s="280"/>
      <c r="D12" s="280"/>
      <c r="E12" s="280"/>
      <c r="F12" s="280"/>
      <c r="G12" s="280"/>
      <c r="H12" s="280"/>
      <c r="I12" s="280"/>
      <c r="J12" s="280"/>
      <c r="K12" s="280"/>
      <c r="L12" s="280"/>
      <c r="M12" s="280"/>
      <c r="N12" s="280"/>
      <c r="O12" s="280"/>
      <c r="P12" s="280"/>
      <c r="Q12" s="280"/>
      <c r="R12" s="280"/>
      <c r="S12" s="280"/>
      <c r="T12" s="280"/>
      <c r="U12" s="280"/>
      <c r="V12" s="280"/>
      <c r="W12" s="280"/>
      <c r="X12" s="280"/>
      <c r="Y12" s="280"/>
      <c r="Z12" s="280"/>
      <c r="AA12" s="280"/>
      <c r="AB12" s="280"/>
      <c r="AC12" s="280"/>
      <c r="AD12" s="280"/>
      <c r="AE12" s="280"/>
      <c r="AF12" s="280"/>
      <c r="AG12" s="280"/>
      <c r="AH12" s="280"/>
      <c r="AI12" s="280"/>
      <c r="AJ12" s="280"/>
      <c r="AK12" s="280"/>
      <c r="AL12" s="280"/>
      <c r="AM12" s="280"/>
      <c r="AN12" s="280"/>
      <c r="AO12" s="280"/>
      <c r="AP12" s="280"/>
      <c r="AQ12" s="280"/>
      <c r="AR12" s="187"/>
      <c r="AS12" s="196" t="s">
        <v>266</v>
      </c>
    </row>
    <row r="13" spans="1:48">
      <c r="A13" s="280"/>
      <c r="B13" s="280"/>
      <c r="C13" s="280"/>
      <c r="D13" s="280"/>
      <c r="E13" s="280"/>
      <c r="F13" s="280"/>
      <c r="G13" s="280"/>
      <c r="H13" s="280"/>
      <c r="I13" s="280"/>
      <c r="J13" s="280"/>
      <c r="K13" s="280"/>
      <c r="L13" s="280"/>
      <c r="M13" s="280"/>
      <c r="N13" s="280"/>
      <c r="O13" s="280"/>
      <c r="P13" s="280"/>
      <c r="Q13" s="280"/>
      <c r="R13" s="280"/>
      <c r="S13" s="280"/>
      <c r="T13" s="280"/>
      <c r="U13" s="280"/>
      <c r="V13" s="280"/>
      <c r="W13" s="280"/>
      <c r="X13" s="280"/>
      <c r="Y13" s="280"/>
      <c r="Z13" s="280"/>
      <c r="AA13" s="280"/>
      <c r="AB13" s="280"/>
      <c r="AC13" s="280"/>
      <c r="AD13" s="280"/>
      <c r="AE13" s="280"/>
      <c r="AF13" s="280"/>
      <c r="AG13" s="280"/>
      <c r="AH13" s="280"/>
      <c r="AI13" s="280"/>
      <c r="AJ13" s="280"/>
      <c r="AK13" s="280"/>
      <c r="AL13" s="280"/>
      <c r="AM13" s="280"/>
      <c r="AN13" s="280"/>
      <c r="AO13" s="280"/>
      <c r="AP13" s="280"/>
      <c r="AQ13" s="280"/>
      <c r="AR13" s="187"/>
      <c r="AS13" s="284" t="s">
        <v>350</v>
      </c>
      <c r="AT13" s="285"/>
    </row>
    <row r="14" spans="1:48">
      <c r="A14" s="280"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ผบ.454/2560 ในคดีหมายเลขแดงที่  ผบ.1894/2560 ลว.24 เมษายน 2560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0"/>
      <c r="C14" s="280"/>
      <c r="D14" s="280"/>
      <c r="E14" s="280"/>
      <c r="F14" s="280"/>
      <c r="G14" s="280"/>
      <c r="H14" s="280"/>
      <c r="I14" s="280"/>
      <c r="J14" s="280"/>
      <c r="K14" s="280"/>
      <c r="L14" s="280"/>
      <c r="M14" s="280"/>
      <c r="N14" s="280"/>
      <c r="O14" s="280"/>
      <c r="P14" s="280"/>
      <c r="Q14" s="280"/>
      <c r="R14" s="280"/>
      <c r="S14" s="280"/>
      <c r="T14" s="280"/>
      <c r="U14" s="280"/>
      <c r="V14" s="280"/>
      <c r="W14" s="280"/>
      <c r="X14" s="280"/>
      <c r="Y14" s="280"/>
      <c r="Z14" s="280"/>
      <c r="AA14" s="280"/>
      <c r="AB14" s="280"/>
      <c r="AC14" s="280"/>
      <c r="AD14" s="280"/>
      <c r="AE14" s="280"/>
      <c r="AF14" s="280"/>
      <c r="AG14" s="280"/>
      <c r="AH14" s="280"/>
      <c r="AI14" s="280"/>
      <c r="AJ14" s="280"/>
      <c r="AK14" s="280"/>
      <c r="AL14" s="280"/>
      <c r="AM14" s="280"/>
      <c r="AN14" s="280"/>
      <c r="AO14" s="280"/>
      <c r="AP14" s="280"/>
      <c r="AQ14" s="280"/>
      <c r="AR14" s="187"/>
    </row>
    <row r="15" spans="1:48">
      <c r="A15" s="280"/>
      <c r="B15" s="280"/>
      <c r="C15" s="280"/>
      <c r="D15" s="280"/>
      <c r="E15" s="280"/>
      <c r="F15" s="280"/>
      <c r="G15" s="280"/>
      <c r="H15" s="280"/>
      <c r="I15" s="280"/>
      <c r="J15" s="280"/>
      <c r="K15" s="280"/>
      <c r="L15" s="280"/>
      <c r="M15" s="280"/>
      <c r="N15" s="280"/>
      <c r="O15" s="280"/>
      <c r="P15" s="280"/>
      <c r="Q15" s="280"/>
      <c r="R15" s="280"/>
      <c r="S15" s="280"/>
      <c r="T15" s="280"/>
      <c r="U15" s="280"/>
      <c r="V15" s="280"/>
      <c r="W15" s="280"/>
      <c r="X15" s="280"/>
      <c r="Y15" s="280"/>
      <c r="Z15" s="280"/>
      <c r="AA15" s="280"/>
      <c r="AB15" s="280"/>
      <c r="AC15" s="280"/>
      <c r="AD15" s="280"/>
      <c r="AE15" s="280"/>
      <c r="AF15" s="280"/>
      <c r="AG15" s="280"/>
      <c r="AH15" s="280"/>
      <c r="AI15" s="280"/>
      <c r="AJ15" s="280"/>
      <c r="AK15" s="280"/>
      <c r="AL15" s="280"/>
      <c r="AM15" s="280"/>
      <c r="AN15" s="280"/>
      <c r="AO15" s="280"/>
      <c r="AP15" s="280"/>
      <c r="AQ15" s="280"/>
      <c r="AR15" s="187"/>
    </row>
    <row r="16" spans="1:48">
      <c r="A16" s="280"/>
      <c r="B16" s="280"/>
      <c r="C16" s="280"/>
      <c r="D16" s="280"/>
      <c r="E16" s="280"/>
      <c r="F16" s="280"/>
      <c r="G16" s="280"/>
      <c r="H16" s="280"/>
      <c r="I16" s="280"/>
      <c r="J16" s="280"/>
      <c r="K16" s="280"/>
      <c r="L16" s="280"/>
      <c r="M16" s="280"/>
      <c r="N16" s="280"/>
      <c r="O16" s="280"/>
      <c r="P16" s="280"/>
      <c r="Q16" s="280"/>
      <c r="R16" s="280"/>
      <c r="S16" s="280"/>
      <c r="T16" s="280"/>
      <c r="U16" s="280"/>
      <c r="V16" s="280"/>
      <c r="W16" s="280"/>
      <c r="X16" s="280"/>
      <c r="Y16" s="280"/>
      <c r="Z16" s="280"/>
      <c r="AA16" s="280"/>
      <c r="AB16" s="280"/>
      <c r="AC16" s="280"/>
      <c r="AD16" s="280"/>
      <c r="AE16" s="280"/>
      <c r="AF16" s="280"/>
      <c r="AG16" s="280"/>
      <c r="AH16" s="280"/>
      <c r="AI16" s="280"/>
      <c r="AJ16" s="280"/>
      <c r="AK16" s="280"/>
      <c r="AL16" s="280"/>
      <c r="AM16" s="280"/>
      <c r="AN16" s="280"/>
      <c r="AO16" s="280"/>
      <c r="AP16" s="280"/>
      <c r="AQ16" s="280"/>
      <c r="AR16" s="187"/>
      <c r="AS16" s="172" t="s">
        <v>290</v>
      </c>
      <c r="AT16" s="217" t="s">
        <v>334</v>
      </c>
      <c r="AU16" s="216">
        <f>COUNTIF(C17:N32,"ซ่อนช่อง")</f>
        <v>12</v>
      </c>
      <c r="AV16" s="215" t="s">
        <v>335</v>
      </c>
    </row>
    <row r="17" spans="1:45">
      <c r="A17" s="188"/>
      <c r="B17" s="188"/>
      <c r="C17" s="255" t="str">
        <f>IF(AS17="","ซ่อนช่อง",CONCATENATE("1. ",VLOOKUP(AS17,Table1[#All],2,0)))</f>
        <v>1. นางอนงค์ แสงทอง</v>
      </c>
      <c r="D17" s="255"/>
      <c r="E17" s="255"/>
      <c r="F17" s="255"/>
      <c r="G17" s="255"/>
      <c r="H17" s="255"/>
      <c r="I17" s="255"/>
      <c r="J17" s="255"/>
      <c r="K17" s="255"/>
      <c r="L17" s="255"/>
      <c r="M17" s="255"/>
      <c r="N17" s="255"/>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f>IF(AS17="","",VLOOKUP(AS17,Table1[#All],3,0))</f>
        <v>3501400100291</v>
      </c>
      <c r="AE17" s="286"/>
      <c r="AF17" s="286"/>
      <c r="AG17" s="286"/>
      <c r="AH17" s="286"/>
      <c r="AI17" s="286"/>
      <c r="AJ17" s="286"/>
      <c r="AK17" s="286"/>
      <c r="AL17" s="201"/>
      <c r="AM17" s="188"/>
      <c r="AN17" s="188"/>
      <c r="AO17" s="188"/>
      <c r="AP17" s="188"/>
      <c r="AQ17" s="188"/>
      <c r="AS17" s="197" t="s">
        <v>211</v>
      </c>
    </row>
    <row r="18" spans="1:45">
      <c r="A18" s="193"/>
      <c r="B18" s="193"/>
      <c r="C18" s="282" t="str">
        <f>IF(AS18="","ซ่อนช่อง",CONCATENATE("2. ",VLOOKUP(AS18,Table1[#All],2,0)))</f>
        <v>2. นายพรพิทักษ์ แสงทอง</v>
      </c>
      <c r="D18" s="282"/>
      <c r="E18" s="282"/>
      <c r="F18" s="282"/>
      <c r="G18" s="282"/>
      <c r="H18" s="282"/>
      <c r="I18" s="282"/>
      <c r="J18" s="282"/>
      <c r="K18" s="282"/>
      <c r="L18" s="282"/>
      <c r="M18" s="282"/>
      <c r="N18" s="282"/>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3">
        <f>IF(AS18="","",VLOOKUP(AS18,Table1[#All],3,0))</f>
        <v>3509901410495</v>
      </c>
      <c r="AE18" s="283"/>
      <c r="AF18" s="283"/>
      <c r="AG18" s="283"/>
      <c r="AH18" s="283"/>
      <c r="AI18" s="283"/>
      <c r="AJ18" s="283"/>
      <c r="AK18" s="283"/>
      <c r="AL18" s="195"/>
      <c r="AM18" s="193"/>
      <c r="AN18" s="193"/>
      <c r="AO18" s="193"/>
      <c r="AP18" s="193"/>
      <c r="AQ18" s="193"/>
      <c r="AS18" s="197" t="s">
        <v>352</v>
      </c>
    </row>
    <row r="19" spans="1:45">
      <c r="A19" s="193"/>
      <c r="B19" s="193"/>
      <c r="C19" s="282" t="str">
        <f>IF(AS19="","ซ่อนช่อง",CONCATENATE("3. ",VLOOKUP(AS19,Table1[#All],2,0)))</f>
        <v>3. นายวุฒิพงศ์ ภีระคำ</v>
      </c>
      <c r="D19" s="282"/>
      <c r="E19" s="282"/>
      <c r="F19" s="282"/>
      <c r="G19" s="282"/>
      <c r="H19" s="282"/>
      <c r="I19" s="282"/>
      <c r="J19" s="282"/>
      <c r="K19" s="282"/>
      <c r="L19" s="282"/>
      <c r="M19" s="282"/>
      <c r="N19" s="282"/>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3">
        <f>IF(AS19="","",VLOOKUP(AS19,Table1[#All],3,0))</f>
        <v>3501400100305</v>
      </c>
      <c r="AE19" s="283"/>
      <c r="AF19" s="283"/>
      <c r="AG19" s="283"/>
      <c r="AH19" s="283"/>
      <c r="AI19" s="283"/>
      <c r="AJ19" s="283"/>
      <c r="AK19" s="283"/>
      <c r="AL19" s="195"/>
      <c r="AM19" s="193"/>
      <c r="AN19" s="193"/>
      <c r="AO19" s="193"/>
      <c r="AP19" s="193"/>
      <c r="AQ19" s="193"/>
      <c r="AS19" s="197" t="s">
        <v>212</v>
      </c>
    </row>
    <row r="20" spans="1:45">
      <c r="A20" s="193"/>
      <c r="B20" s="193"/>
      <c r="C20" s="282" t="str">
        <f>IF(AS20="","ซ่อนช่อง",CONCATENATE("4. ",VLOOKUP(AS20,Table1[#All],2,0)))</f>
        <v>4. นางสุภาภรณ์ ภีระคำ</v>
      </c>
      <c r="D20" s="282"/>
      <c r="E20" s="282"/>
      <c r="F20" s="282"/>
      <c r="G20" s="282"/>
      <c r="H20" s="282"/>
      <c r="I20" s="282"/>
      <c r="J20" s="282"/>
      <c r="K20" s="282"/>
      <c r="L20" s="282"/>
      <c r="M20" s="282"/>
      <c r="N20" s="282"/>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3">
        <f>IF(AS20="","",VLOOKUP(AS20,Table1[#All],3,0))</f>
        <v>3509900729587</v>
      </c>
      <c r="AE20" s="283"/>
      <c r="AF20" s="283"/>
      <c r="AG20" s="283"/>
      <c r="AH20" s="283"/>
      <c r="AI20" s="283"/>
      <c r="AJ20" s="283"/>
      <c r="AK20" s="283"/>
      <c r="AL20" s="195"/>
      <c r="AM20" s="193"/>
      <c r="AN20" s="193"/>
      <c r="AO20" s="193"/>
      <c r="AP20" s="193"/>
      <c r="AQ20" s="193"/>
      <c r="AS20" s="197" t="s">
        <v>214</v>
      </c>
    </row>
    <row r="21" spans="1:45" hidden="1">
      <c r="A21" s="193"/>
      <c r="B21" s="193"/>
      <c r="C21" s="282" t="str">
        <f>IF(AS21="","ซ่อนช่อง",CONCATENATE("5. ",VLOOKUP(AS21,Table1[#All],2,0)))</f>
        <v>ซ่อนช่อง</v>
      </c>
      <c r="D21" s="282"/>
      <c r="E21" s="282"/>
      <c r="F21" s="282"/>
      <c r="G21" s="282"/>
      <c r="H21" s="282"/>
      <c r="I21" s="282"/>
      <c r="J21" s="282"/>
      <c r="K21" s="282"/>
      <c r="L21" s="282"/>
      <c r="M21" s="282"/>
      <c r="N21" s="282"/>
      <c r="O21" s="194"/>
      <c r="P21" s="193" t="str">
        <f t="shared" si="2"/>
        <v/>
      </c>
      <c r="Q21" s="193"/>
      <c r="R21" s="193"/>
      <c r="S21" s="193"/>
      <c r="T21" s="193"/>
      <c r="U21" s="193"/>
      <c r="V21" s="193"/>
      <c r="W21" s="193" t="str">
        <f t="shared" si="3"/>
        <v/>
      </c>
      <c r="X21" s="193"/>
      <c r="Y21" s="193"/>
      <c r="Z21" s="193"/>
      <c r="AA21" s="193"/>
      <c r="AB21" s="193"/>
      <c r="AC21" s="193"/>
      <c r="AD21" s="283" t="str">
        <f>IF(AS21="","",VLOOKUP(AS21,Table1[#All],3,0))</f>
        <v/>
      </c>
      <c r="AE21" s="283"/>
      <c r="AF21" s="283"/>
      <c r="AG21" s="283"/>
      <c r="AH21" s="283"/>
      <c r="AI21" s="283"/>
      <c r="AJ21" s="283"/>
      <c r="AK21" s="283"/>
      <c r="AL21" s="195"/>
      <c r="AM21" s="193"/>
      <c r="AN21" s="193"/>
      <c r="AO21" s="193"/>
      <c r="AP21" s="193"/>
      <c r="AQ21" s="193"/>
      <c r="AS21" s="197"/>
    </row>
    <row r="22" spans="1:45" hidden="1">
      <c r="A22" s="193"/>
      <c r="B22" s="193"/>
      <c r="C22" s="282" t="str">
        <f>IF(AS22="","ซ่อนช่อง",CONCATENATE("6. ",VLOOKUP(AS22,Table1[#All],2,0)))</f>
        <v>ซ่อนช่อง</v>
      </c>
      <c r="D22" s="282"/>
      <c r="E22" s="282"/>
      <c r="F22" s="282"/>
      <c r="G22" s="282"/>
      <c r="H22" s="282"/>
      <c r="I22" s="282"/>
      <c r="J22" s="282"/>
      <c r="K22" s="282"/>
      <c r="L22" s="282"/>
      <c r="M22" s="282"/>
      <c r="N22" s="282"/>
      <c r="O22" s="194"/>
      <c r="P22" s="193" t="str">
        <f t="shared" si="2"/>
        <v/>
      </c>
      <c r="Q22" s="193"/>
      <c r="R22" s="193"/>
      <c r="S22" s="193"/>
      <c r="T22" s="193"/>
      <c r="U22" s="193"/>
      <c r="V22" s="193"/>
      <c r="W22" s="193" t="str">
        <f t="shared" si="3"/>
        <v/>
      </c>
      <c r="X22" s="193"/>
      <c r="Y22" s="193"/>
      <c r="Z22" s="193"/>
      <c r="AA22" s="193"/>
      <c r="AB22" s="193"/>
      <c r="AC22" s="193"/>
      <c r="AD22" s="283" t="str">
        <f>IF(AS22="","",VLOOKUP(AS22,Table1[#All],3,0))</f>
        <v/>
      </c>
      <c r="AE22" s="283"/>
      <c r="AF22" s="283"/>
      <c r="AG22" s="283"/>
      <c r="AH22" s="283"/>
      <c r="AI22" s="283"/>
      <c r="AJ22" s="283"/>
      <c r="AK22" s="283"/>
      <c r="AL22" s="195"/>
      <c r="AM22" s="193"/>
      <c r="AN22" s="193"/>
      <c r="AO22" s="193"/>
      <c r="AP22" s="193"/>
      <c r="AQ22" s="193"/>
      <c r="AS22" s="197"/>
    </row>
    <row r="23" spans="1:45" hidden="1">
      <c r="A23" s="193"/>
      <c r="B23" s="193"/>
      <c r="C23" s="282" t="str">
        <f>IF(AS23="","ซ่อนช่อง",CONCATENATE("7. ",VLOOKUP(AS23,Table1[#All],2,0)))</f>
        <v>ซ่อนช่อง</v>
      </c>
      <c r="D23" s="282"/>
      <c r="E23" s="282"/>
      <c r="F23" s="282"/>
      <c r="G23" s="282"/>
      <c r="H23" s="282"/>
      <c r="I23" s="282"/>
      <c r="J23" s="282"/>
      <c r="K23" s="282"/>
      <c r="L23" s="282"/>
      <c r="M23" s="282"/>
      <c r="N23" s="282"/>
      <c r="O23" s="194"/>
      <c r="P23" s="193" t="str">
        <f t="shared" si="2"/>
        <v/>
      </c>
      <c r="Q23" s="193"/>
      <c r="R23" s="193"/>
      <c r="S23" s="193"/>
      <c r="T23" s="193"/>
      <c r="U23" s="193"/>
      <c r="V23" s="193"/>
      <c r="W23" s="193" t="str">
        <f t="shared" si="3"/>
        <v/>
      </c>
      <c r="X23" s="193"/>
      <c r="Y23" s="193"/>
      <c r="Z23" s="193"/>
      <c r="AA23" s="193"/>
      <c r="AB23" s="193"/>
      <c r="AC23" s="193"/>
      <c r="AD23" s="283" t="str">
        <f>IF(AS23="","",VLOOKUP(AS23,Table1[#All],3,0))</f>
        <v/>
      </c>
      <c r="AE23" s="283"/>
      <c r="AF23" s="283"/>
      <c r="AG23" s="283"/>
      <c r="AH23" s="283"/>
      <c r="AI23" s="283"/>
      <c r="AJ23" s="283"/>
      <c r="AK23" s="283"/>
      <c r="AL23" s="195"/>
      <c r="AM23" s="193"/>
      <c r="AN23" s="193"/>
      <c r="AO23" s="193"/>
      <c r="AP23" s="193"/>
      <c r="AQ23" s="193"/>
      <c r="AS23" s="197"/>
    </row>
    <row r="24" spans="1:45" hidden="1">
      <c r="A24" s="193"/>
      <c r="B24" s="193"/>
      <c r="C24" s="282" t="str">
        <f>IF(AS24="","ซ่อนช่อง",CONCATENATE("8. ",VLOOKUP(AS24,Table1[#All],2,0)))</f>
        <v>ซ่อนช่อง</v>
      </c>
      <c r="D24" s="282"/>
      <c r="E24" s="282"/>
      <c r="F24" s="282"/>
      <c r="G24" s="282"/>
      <c r="H24" s="282"/>
      <c r="I24" s="282"/>
      <c r="J24" s="282"/>
      <c r="K24" s="282"/>
      <c r="L24" s="282"/>
      <c r="M24" s="282"/>
      <c r="N24" s="282"/>
      <c r="O24" s="194"/>
      <c r="P24" s="193" t="str">
        <f t="shared" si="2"/>
        <v/>
      </c>
      <c r="Q24" s="193"/>
      <c r="R24" s="193"/>
      <c r="S24" s="193"/>
      <c r="T24" s="193"/>
      <c r="U24" s="193"/>
      <c r="V24" s="193"/>
      <c r="W24" s="193" t="str">
        <f t="shared" si="3"/>
        <v/>
      </c>
      <c r="X24" s="193"/>
      <c r="Y24" s="193"/>
      <c r="Z24" s="193"/>
      <c r="AA24" s="193"/>
      <c r="AB24" s="193"/>
      <c r="AC24" s="193"/>
      <c r="AD24" s="283" t="str">
        <f>IF(AS24="","",VLOOKUP(AS24,Table1[#All],3,0))</f>
        <v/>
      </c>
      <c r="AE24" s="283"/>
      <c r="AF24" s="283"/>
      <c r="AG24" s="283"/>
      <c r="AH24" s="283"/>
      <c r="AI24" s="283"/>
      <c r="AJ24" s="283"/>
      <c r="AK24" s="283"/>
      <c r="AL24" s="195"/>
      <c r="AM24" s="193"/>
      <c r="AN24" s="193"/>
      <c r="AO24" s="193"/>
      <c r="AP24" s="193"/>
      <c r="AQ24" s="193"/>
      <c r="AS24" s="197"/>
    </row>
    <row r="25" spans="1:45" hidden="1">
      <c r="A25" s="193"/>
      <c r="B25" s="193"/>
      <c r="C25" s="282" t="str">
        <f>IF(AS25="","ซ่อนช่อง",CONCATENATE("9. ",VLOOKUP(AS25,Table1[#All],2,0)))</f>
        <v>ซ่อนช่อง</v>
      </c>
      <c r="D25" s="282"/>
      <c r="E25" s="282"/>
      <c r="F25" s="282"/>
      <c r="G25" s="282"/>
      <c r="H25" s="282"/>
      <c r="I25" s="282"/>
      <c r="J25" s="282"/>
      <c r="K25" s="282"/>
      <c r="L25" s="282"/>
      <c r="M25" s="282"/>
      <c r="N25" s="282"/>
      <c r="O25" s="194"/>
      <c r="P25" s="193" t="str">
        <f t="shared" si="2"/>
        <v/>
      </c>
      <c r="Q25" s="193"/>
      <c r="R25" s="193"/>
      <c r="S25" s="193"/>
      <c r="T25" s="193"/>
      <c r="U25" s="193"/>
      <c r="V25" s="193"/>
      <c r="W25" s="193" t="str">
        <f t="shared" si="3"/>
        <v/>
      </c>
      <c r="X25" s="193"/>
      <c r="Y25" s="193"/>
      <c r="Z25" s="193"/>
      <c r="AA25" s="193"/>
      <c r="AB25" s="193"/>
      <c r="AC25" s="193"/>
      <c r="AD25" s="283" t="str">
        <f>IF(AS25="","",VLOOKUP(AS25,Table1[#All],3,0))</f>
        <v/>
      </c>
      <c r="AE25" s="283"/>
      <c r="AF25" s="283"/>
      <c r="AG25" s="283"/>
      <c r="AH25" s="283"/>
      <c r="AI25" s="283"/>
      <c r="AJ25" s="283"/>
      <c r="AK25" s="283"/>
      <c r="AL25" s="195"/>
      <c r="AM25" s="193"/>
      <c r="AN25" s="193"/>
      <c r="AO25" s="193"/>
      <c r="AP25" s="193"/>
      <c r="AQ25" s="193"/>
      <c r="AS25" s="197"/>
    </row>
    <row r="26" spans="1:45" hidden="1">
      <c r="A26" s="193"/>
      <c r="B26" s="193"/>
      <c r="C26" s="282" t="str">
        <f>IF(AS26="","ซ่อนช่อง",CONCATENATE("10. ",VLOOKUP(AS26,Table1[#All],2,0)))</f>
        <v>ซ่อนช่อง</v>
      </c>
      <c r="D26" s="282"/>
      <c r="E26" s="282"/>
      <c r="F26" s="282"/>
      <c r="G26" s="282"/>
      <c r="H26" s="282"/>
      <c r="I26" s="282"/>
      <c r="J26" s="282"/>
      <c r="K26" s="282"/>
      <c r="L26" s="282"/>
      <c r="M26" s="282"/>
      <c r="N26" s="282"/>
      <c r="O26" s="194"/>
      <c r="P26" s="193" t="str">
        <f t="shared" si="2"/>
        <v/>
      </c>
      <c r="Q26" s="193"/>
      <c r="R26" s="193"/>
      <c r="S26" s="193"/>
      <c r="T26" s="193"/>
      <c r="U26" s="193"/>
      <c r="V26" s="193"/>
      <c r="W26" s="193" t="str">
        <f t="shared" si="3"/>
        <v/>
      </c>
      <c r="X26" s="193"/>
      <c r="Y26" s="193"/>
      <c r="Z26" s="193"/>
      <c r="AA26" s="193"/>
      <c r="AB26" s="193"/>
      <c r="AC26" s="193"/>
      <c r="AD26" s="283" t="str">
        <f>IF(AS26="","",VLOOKUP(AS26,Table1[#All],3,0))</f>
        <v/>
      </c>
      <c r="AE26" s="283"/>
      <c r="AF26" s="283"/>
      <c r="AG26" s="283"/>
      <c r="AH26" s="283"/>
      <c r="AI26" s="283"/>
      <c r="AJ26" s="283"/>
      <c r="AK26" s="283"/>
      <c r="AL26" s="195"/>
      <c r="AM26" s="193"/>
      <c r="AN26" s="193"/>
      <c r="AO26" s="193"/>
      <c r="AP26" s="193"/>
      <c r="AQ26" s="193"/>
      <c r="AS26" s="197"/>
    </row>
    <row r="27" spans="1:45" hidden="1">
      <c r="A27" s="193"/>
      <c r="B27" s="193"/>
      <c r="C27" s="282" t="str">
        <f>IF(AS27="","ซ่อนช่อง",CONCATENATE("11. ",VLOOKUP(AS27,Table1[#All],2,0)))</f>
        <v>ซ่อนช่อง</v>
      </c>
      <c r="D27" s="282"/>
      <c r="E27" s="282"/>
      <c r="F27" s="282"/>
      <c r="G27" s="282"/>
      <c r="H27" s="282"/>
      <c r="I27" s="282"/>
      <c r="J27" s="282"/>
      <c r="K27" s="282"/>
      <c r="L27" s="282"/>
      <c r="M27" s="282"/>
      <c r="N27" s="282"/>
      <c r="O27" s="194"/>
      <c r="P27" s="193" t="str">
        <f t="shared" si="2"/>
        <v/>
      </c>
      <c r="Q27" s="193"/>
      <c r="R27" s="193"/>
      <c r="S27" s="193"/>
      <c r="T27" s="193"/>
      <c r="U27" s="193"/>
      <c r="V27" s="193"/>
      <c r="W27" s="193" t="str">
        <f t="shared" si="3"/>
        <v/>
      </c>
      <c r="X27" s="193"/>
      <c r="Y27" s="193"/>
      <c r="Z27" s="193"/>
      <c r="AA27" s="193"/>
      <c r="AB27" s="193"/>
      <c r="AC27" s="193"/>
      <c r="AD27" s="283" t="str">
        <f>IF(AS27="","",VLOOKUP(AS27,Table1[#All],3,0))</f>
        <v/>
      </c>
      <c r="AE27" s="283"/>
      <c r="AF27" s="283"/>
      <c r="AG27" s="283"/>
      <c r="AH27" s="283"/>
      <c r="AI27" s="283"/>
      <c r="AJ27" s="283"/>
      <c r="AK27" s="283"/>
      <c r="AL27" s="195"/>
      <c r="AM27" s="193"/>
      <c r="AN27" s="193"/>
      <c r="AO27" s="193"/>
      <c r="AP27" s="193"/>
      <c r="AQ27" s="193"/>
      <c r="AS27" s="197"/>
    </row>
    <row r="28" spans="1:45" hidden="1">
      <c r="A28" s="193"/>
      <c r="B28" s="193"/>
      <c r="C28" s="282" t="str">
        <f>IF(AS28="","ซ่อนช่อง",CONCATENATE("12. ",VLOOKUP(AS28,Table1[#All],2,0)))</f>
        <v>ซ่อนช่อง</v>
      </c>
      <c r="D28" s="282"/>
      <c r="E28" s="282"/>
      <c r="F28" s="282"/>
      <c r="G28" s="282"/>
      <c r="H28" s="282"/>
      <c r="I28" s="282"/>
      <c r="J28" s="282"/>
      <c r="K28" s="282"/>
      <c r="L28" s="282"/>
      <c r="M28" s="282"/>
      <c r="N28" s="282"/>
      <c r="O28" s="194"/>
      <c r="P28" s="193" t="str">
        <f t="shared" si="2"/>
        <v/>
      </c>
      <c r="Q28" s="193"/>
      <c r="R28" s="193"/>
      <c r="S28" s="193"/>
      <c r="T28" s="193"/>
      <c r="U28" s="193"/>
      <c r="V28" s="193"/>
      <c r="W28" s="193" t="str">
        <f t="shared" si="3"/>
        <v/>
      </c>
      <c r="X28" s="193"/>
      <c r="Y28" s="193"/>
      <c r="Z28" s="193"/>
      <c r="AA28" s="193"/>
      <c r="AB28" s="193"/>
      <c r="AC28" s="193"/>
      <c r="AD28" s="283" t="str">
        <f>IF(AS28="","",VLOOKUP(AS28,Table1[#All],3,0))</f>
        <v/>
      </c>
      <c r="AE28" s="283"/>
      <c r="AF28" s="283"/>
      <c r="AG28" s="283"/>
      <c r="AH28" s="283"/>
      <c r="AI28" s="283"/>
      <c r="AJ28" s="283"/>
      <c r="AK28" s="283"/>
      <c r="AL28" s="195"/>
      <c r="AM28" s="193"/>
      <c r="AN28" s="193"/>
      <c r="AO28" s="193"/>
      <c r="AP28" s="193"/>
      <c r="AQ28" s="193"/>
      <c r="AS28" s="197"/>
    </row>
    <row r="29" spans="1:45" hidden="1">
      <c r="A29" s="193"/>
      <c r="B29" s="193"/>
      <c r="C29" s="282" t="str">
        <f>IF(AS29="","ซ่อนช่อง",CONCATENATE("13. ",VLOOKUP(AS29,Table1[#All],2,0)))</f>
        <v>ซ่อนช่อง</v>
      </c>
      <c r="D29" s="282"/>
      <c r="E29" s="282"/>
      <c r="F29" s="282"/>
      <c r="G29" s="282"/>
      <c r="H29" s="282"/>
      <c r="I29" s="282"/>
      <c r="J29" s="282"/>
      <c r="K29" s="282"/>
      <c r="L29" s="282"/>
      <c r="M29" s="282"/>
      <c r="N29" s="282"/>
      <c r="O29" s="194"/>
      <c r="P29" s="193" t="str">
        <f t="shared" si="2"/>
        <v/>
      </c>
      <c r="Q29" s="193"/>
      <c r="R29" s="193"/>
      <c r="S29" s="193"/>
      <c r="T29" s="193"/>
      <c r="U29" s="193"/>
      <c r="V29" s="193"/>
      <c r="W29" s="193" t="str">
        <f t="shared" si="3"/>
        <v/>
      </c>
      <c r="X29" s="193"/>
      <c r="Y29" s="193"/>
      <c r="Z29" s="193"/>
      <c r="AA29" s="193"/>
      <c r="AB29" s="193"/>
      <c r="AC29" s="193"/>
      <c r="AD29" s="283" t="str">
        <f>IF(AS29="","",VLOOKUP(AS29,Table1[#All],3,0))</f>
        <v/>
      </c>
      <c r="AE29" s="283"/>
      <c r="AF29" s="283"/>
      <c r="AG29" s="283"/>
      <c r="AH29" s="283"/>
      <c r="AI29" s="283"/>
      <c r="AJ29" s="283"/>
      <c r="AK29" s="283"/>
      <c r="AL29" s="195"/>
      <c r="AM29" s="193"/>
      <c r="AN29" s="193"/>
      <c r="AO29" s="193"/>
      <c r="AP29" s="193"/>
      <c r="AQ29" s="193"/>
      <c r="AS29" s="197"/>
    </row>
    <row r="30" spans="1:45" hidden="1">
      <c r="A30" s="193"/>
      <c r="B30" s="193"/>
      <c r="C30" s="282" t="str">
        <f>IF(AS30="","ซ่อนช่อง",CONCATENATE("14. ",VLOOKUP(AS30,Table1[#All],2,0)))</f>
        <v>ซ่อนช่อง</v>
      </c>
      <c r="D30" s="282"/>
      <c r="E30" s="282"/>
      <c r="F30" s="282"/>
      <c r="G30" s="282"/>
      <c r="H30" s="282"/>
      <c r="I30" s="282"/>
      <c r="J30" s="282"/>
      <c r="K30" s="282"/>
      <c r="L30" s="282"/>
      <c r="M30" s="282"/>
      <c r="N30" s="282"/>
      <c r="O30" s="194"/>
      <c r="P30" s="193" t="str">
        <f t="shared" si="2"/>
        <v/>
      </c>
      <c r="Q30" s="193"/>
      <c r="R30" s="193"/>
      <c r="S30" s="193"/>
      <c r="T30" s="193"/>
      <c r="U30" s="193"/>
      <c r="V30" s="193"/>
      <c r="W30" s="193" t="str">
        <f t="shared" si="3"/>
        <v/>
      </c>
      <c r="X30" s="193"/>
      <c r="Y30" s="193"/>
      <c r="Z30" s="193"/>
      <c r="AA30" s="193"/>
      <c r="AB30" s="193"/>
      <c r="AC30" s="193"/>
      <c r="AD30" s="283" t="str">
        <f>IF(AS30="","",VLOOKUP(AS30,Table1[#All],3,0))</f>
        <v/>
      </c>
      <c r="AE30" s="283"/>
      <c r="AF30" s="283"/>
      <c r="AG30" s="283"/>
      <c r="AH30" s="283"/>
      <c r="AI30" s="283"/>
      <c r="AJ30" s="283"/>
      <c r="AK30" s="283"/>
      <c r="AL30" s="195"/>
      <c r="AM30" s="193"/>
      <c r="AN30" s="193"/>
      <c r="AO30" s="193"/>
      <c r="AP30" s="193"/>
      <c r="AQ30" s="193"/>
      <c r="AS30" s="197"/>
    </row>
    <row r="31" spans="1:45" hidden="1">
      <c r="A31" s="193"/>
      <c r="B31" s="193"/>
      <c r="C31" s="282" t="str">
        <f>IF(AS31="","ซ่อนช่อง",CONCATENATE("15. ",VLOOKUP(AS31,Table1[#All],2,0)))</f>
        <v>ซ่อนช่อง</v>
      </c>
      <c r="D31" s="282"/>
      <c r="E31" s="282"/>
      <c r="F31" s="282"/>
      <c r="G31" s="282"/>
      <c r="H31" s="282"/>
      <c r="I31" s="282"/>
      <c r="J31" s="282"/>
      <c r="K31" s="282"/>
      <c r="L31" s="282"/>
      <c r="M31" s="282"/>
      <c r="N31" s="282"/>
      <c r="O31" s="194"/>
      <c r="P31" s="193" t="str">
        <f t="shared" si="2"/>
        <v/>
      </c>
      <c r="Q31" s="193"/>
      <c r="R31" s="193"/>
      <c r="S31" s="193"/>
      <c r="T31" s="193"/>
      <c r="U31" s="193"/>
      <c r="V31" s="193"/>
      <c r="W31" s="193" t="str">
        <f t="shared" si="3"/>
        <v/>
      </c>
      <c r="X31" s="193"/>
      <c r="Y31" s="193"/>
      <c r="Z31" s="193"/>
      <c r="AA31" s="193"/>
      <c r="AB31" s="193"/>
      <c r="AC31" s="193"/>
      <c r="AD31" s="283" t="str">
        <f>IF(AS31="","",VLOOKUP(AS31,Table1[#All],3,0))</f>
        <v/>
      </c>
      <c r="AE31" s="283"/>
      <c r="AF31" s="283"/>
      <c r="AG31" s="283"/>
      <c r="AH31" s="283"/>
      <c r="AI31" s="283"/>
      <c r="AJ31" s="283"/>
      <c r="AK31" s="283"/>
      <c r="AL31" s="195"/>
      <c r="AM31" s="193"/>
      <c r="AN31" s="193"/>
      <c r="AO31" s="193"/>
      <c r="AP31" s="193"/>
      <c r="AQ31" s="193"/>
      <c r="AS31" s="197"/>
    </row>
    <row r="32" spans="1:45" hidden="1">
      <c r="A32" s="189"/>
      <c r="B32" s="189"/>
      <c r="C32" s="282" t="str">
        <f>IF(AS32="","ซ่อนช่อง",CONCATENATE("16. ",VLOOKUP(AS32,Table1[#All],2,0)))</f>
        <v>ซ่อนช่อง</v>
      </c>
      <c r="D32" s="282"/>
      <c r="E32" s="282"/>
      <c r="F32" s="282"/>
      <c r="G32" s="282"/>
      <c r="H32" s="282"/>
      <c r="I32" s="282"/>
      <c r="J32" s="282"/>
      <c r="K32" s="282"/>
      <c r="L32" s="282"/>
      <c r="M32" s="282"/>
      <c r="N32" s="282"/>
      <c r="O32" s="199"/>
      <c r="P32" s="193" t="str">
        <f t="shared" si="2"/>
        <v/>
      </c>
      <c r="Q32" s="189"/>
      <c r="R32" s="189"/>
      <c r="S32" s="189"/>
      <c r="T32" s="189"/>
      <c r="U32" s="189"/>
      <c r="V32" s="189"/>
      <c r="W32" s="193" t="str">
        <f t="shared" si="3"/>
        <v/>
      </c>
      <c r="X32" s="189"/>
      <c r="Y32" s="189"/>
      <c r="Z32" s="189"/>
      <c r="AA32" s="189"/>
      <c r="AB32" s="189"/>
      <c r="AC32" s="189"/>
      <c r="AD32" s="283" t="str">
        <f>IF(AS32="","",VLOOKUP(AS32,Table1[#All],3,0))</f>
        <v/>
      </c>
      <c r="AE32" s="283"/>
      <c r="AF32" s="283"/>
      <c r="AG32" s="283"/>
      <c r="AH32" s="283"/>
      <c r="AI32" s="283"/>
      <c r="AJ32" s="283"/>
      <c r="AK32" s="283"/>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3"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15" customHeight="1">
      <c r="Z5" s="210"/>
      <c r="AA5" s="22"/>
      <c r="AB5" s="22"/>
      <c r="AC5" s="22"/>
      <c r="AD5" s="22"/>
      <c r="AE5" s="22"/>
      <c r="AF5" s="22"/>
      <c r="AG5" s="22"/>
      <c r="AH5" s="22"/>
      <c r="AI5" s="22"/>
      <c r="AJ5" s="22"/>
      <c r="AK5" s="22"/>
      <c r="AL5" s="211"/>
    </row>
    <row r="7" spans="1:39" ht="31.5">
      <c r="A7" s="287" t="s">
        <v>311</v>
      </c>
      <c r="B7" s="287"/>
      <c r="C7" s="287"/>
      <c r="D7" s="287"/>
      <c r="E7" s="287"/>
      <c r="F7" s="287"/>
      <c r="G7" s="287"/>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7"/>
    </row>
    <row r="8" spans="1:39" ht="26.25">
      <c r="A8" s="288" t="s">
        <v>312</v>
      </c>
      <c r="B8" s="288"/>
      <c r="C8" s="288"/>
      <c r="D8" s="288"/>
      <c r="E8" s="288"/>
      <c r="F8" s="288"/>
      <c r="G8" s="288"/>
      <c r="H8" s="288"/>
      <c r="I8" s="288"/>
      <c r="J8" s="288"/>
      <c r="K8" s="288"/>
      <c r="L8" s="288"/>
      <c r="M8" s="288"/>
      <c r="N8" s="288"/>
      <c r="O8" s="288"/>
      <c r="P8" s="288"/>
      <c r="Q8" s="288"/>
      <c r="R8" s="288"/>
      <c r="S8" s="288"/>
      <c r="T8" s="288"/>
      <c r="U8" s="288"/>
      <c r="V8" s="288"/>
      <c r="W8" s="288"/>
      <c r="X8" s="288"/>
      <c r="Y8" s="288"/>
      <c r="Z8" s="288"/>
      <c r="AA8" s="288"/>
      <c r="AB8" s="288"/>
      <c r="AC8" s="288"/>
      <c r="AD8" s="288"/>
      <c r="AE8" s="288"/>
      <c r="AF8" s="288"/>
      <c r="AG8" s="288"/>
      <c r="AH8" s="288"/>
      <c r="AI8" s="288"/>
      <c r="AJ8" s="288"/>
      <c r="AK8" s="288"/>
      <c r="AL8" s="288"/>
      <c r="AM8" s="288"/>
    </row>
    <row r="10" spans="1:39">
      <c r="V10" s="2" t="s">
        <v>62</v>
      </c>
      <c r="X10" s="253"/>
      <c r="Y10" s="253"/>
      <c r="Z10" s="278" t="s">
        <v>270</v>
      </c>
      <c r="AA10" s="278"/>
      <c r="AB10" s="253"/>
      <c r="AC10" s="253"/>
      <c r="AD10" s="253"/>
      <c r="AE10" s="253"/>
      <c r="AF10" s="253"/>
      <c r="AG10" s="253"/>
      <c r="AH10" s="278" t="s">
        <v>313</v>
      </c>
      <c r="AI10" s="278"/>
      <c r="AJ10" s="253"/>
      <c r="AK10" s="253"/>
      <c r="AL10" s="253"/>
      <c r="AM10" s="253"/>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53">
        <f>Sheet1!D8</f>
        <v>27</v>
      </c>
      <c r="AH12" s="253"/>
      <c r="AI12" s="253"/>
      <c r="AJ12" s="2" t="s">
        <v>316</v>
      </c>
    </row>
    <row r="13" spans="1:39">
      <c r="A13" s="2" t="s">
        <v>279</v>
      </c>
      <c r="D13" s="253" t="s">
        <v>276</v>
      </c>
      <c r="E13" s="253"/>
      <c r="F13" s="253"/>
      <c r="G13" s="253"/>
      <c r="H13" s="278" t="s">
        <v>281</v>
      </c>
      <c r="I13" s="278"/>
      <c r="J13" s="278"/>
      <c r="K13" s="278"/>
      <c r="L13" s="253">
        <v>470</v>
      </c>
      <c r="M13" s="253"/>
      <c r="N13" s="253"/>
      <c r="O13" s="253"/>
      <c r="P13" s="278" t="s">
        <v>282</v>
      </c>
      <c r="Q13" s="278"/>
      <c r="R13" s="253" t="s">
        <v>152</v>
      </c>
      <c r="S13" s="253"/>
      <c r="T13" s="278" t="s">
        <v>317</v>
      </c>
      <c r="U13" s="278"/>
      <c r="V13" s="253" t="s">
        <v>152</v>
      </c>
      <c r="W13" s="253"/>
      <c r="X13" s="253"/>
      <c r="Y13" s="253"/>
      <c r="Z13" s="253"/>
      <c r="AA13" s="253"/>
      <c r="AB13" s="253"/>
      <c r="AC13" s="278" t="s">
        <v>283</v>
      </c>
      <c r="AD13" s="278"/>
      <c r="AE13" s="253" t="s">
        <v>285</v>
      </c>
      <c r="AF13" s="253"/>
      <c r="AG13" s="253"/>
      <c r="AH13" s="253"/>
      <c r="AI13" s="253"/>
      <c r="AJ13" s="253"/>
      <c r="AK13" s="253"/>
      <c r="AL13" s="253"/>
      <c r="AM13" s="253"/>
    </row>
    <row r="14" spans="1:39">
      <c r="A14" s="2" t="s">
        <v>318</v>
      </c>
      <c r="D14" s="253" t="s">
        <v>345</v>
      </c>
      <c r="E14" s="253"/>
      <c r="F14" s="253"/>
      <c r="G14" s="253"/>
      <c r="H14" s="253"/>
      <c r="I14" s="253"/>
      <c r="J14" s="253"/>
      <c r="K14" s="253"/>
      <c r="L14" s="278" t="s">
        <v>287</v>
      </c>
      <c r="M14" s="278"/>
      <c r="N14" s="278"/>
      <c r="O14" s="253" t="s">
        <v>292</v>
      </c>
      <c r="P14" s="253"/>
      <c r="Q14" s="253"/>
      <c r="R14" s="253"/>
      <c r="S14" s="253"/>
      <c r="T14" s="253"/>
      <c r="U14" s="253"/>
      <c r="V14" s="253"/>
      <c r="W14" s="253"/>
      <c r="X14" s="253"/>
      <c r="Y14" s="253"/>
      <c r="Z14" s="278" t="s">
        <v>289</v>
      </c>
      <c r="AA14" s="278"/>
      <c r="AB14" s="253" t="s">
        <v>293</v>
      </c>
      <c r="AC14" s="253"/>
      <c r="AD14" s="253"/>
      <c r="AE14" s="253"/>
      <c r="AF14" s="253"/>
      <c r="AG14" s="253"/>
      <c r="AH14" s="253"/>
      <c r="AI14" s="253"/>
      <c r="AJ14" s="253"/>
      <c r="AK14" s="253"/>
      <c r="AL14" s="253"/>
      <c r="AM14" s="253"/>
    </row>
    <row r="15" spans="1:39">
      <c r="A15" s="2" t="s">
        <v>332</v>
      </c>
    </row>
    <row r="16" spans="1:39">
      <c r="A16" s="2" t="s">
        <v>331</v>
      </c>
    </row>
    <row r="17" spans="1:40">
      <c r="A17" s="280"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ผบ.454/2560 คดีหมายเลขแดงที่ ผบ.1894/2560 ของบุคคลดังต่อไปนี้</v>
      </c>
      <c r="B17" s="280"/>
      <c r="C17" s="280"/>
      <c r="D17" s="280"/>
      <c r="E17" s="280"/>
      <c r="F17" s="280"/>
      <c r="G17" s="280"/>
      <c r="H17" s="280"/>
      <c r="I17" s="280"/>
      <c r="J17" s="280"/>
      <c r="K17" s="280"/>
      <c r="L17" s="280"/>
      <c r="M17" s="280"/>
      <c r="N17" s="280"/>
      <c r="O17" s="280"/>
      <c r="P17" s="280"/>
      <c r="Q17" s="280"/>
      <c r="R17" s="280"/>
      <c r="S17" s="280"/>
      <c r="T17" s="280"/>
      <c r="U17" s="280"/>
      <c r="V17" s="280"/>
      <c r="W17" s="280"/>
      <c r="X17" s="280"/>
      <c r="Y17" s="280"/>
      <c r="Z17" s="280"/>
      <c r="AA17" s="280"/>
      <c r="AB17" s="280"/>
      <c r="AC17" s="280"/>
      <c r="AD17" s="280"/>
      <c r="AE17" s="280"/>
      <c r="AF17" s="280"/>
      <c r="AG17" s="280"/>
      <c r="AH17" s="280"/>
      <c r="AI17" s="280"/>
      <c r="AJ17" s="280"/>
      <c r="AK17" s="280"/>
      <c r="AL17" s="280"/>
      <c r="AM17" s="280"/>
    </row>
    <row r="18" spans="1:40">
      <c r="A18" s="280"/>
      <c r="B18" s="280"/>
      <c r="C18" s="280"/>
      <c r="D18" s="280"/>
      <c r="E18" s="280"/>
      <c r="F18" s="280"/>
      <c r="G18" s="280"/>
      <c r="H18" s="280"/>
      <c r="I18" s="280"/>
      <c r="J18" s="280"/>
      <c r="K18" s="280"/>
      <c r="L18" s="280"/>
      <c r="M18" s="280"/>
      <c r="N18" s="280"/>
      <c r="O18" s="280"/>
      <c r="P18" s="280"/>
      <c r="Q18" s="280"/>
      <c r="R18" s="280"/>
      <c r="S18" s="280"/>
      <c r="T18" s="280"/>
      <c r="U18" s="280"/>
      <c r="V18" s="280"/>
      <c r="W18" s="280"/>
      <c r="X18" s="280"/>
      <c r="Y18" s="280"/>
      <c r="Z18" s="280"/>
      <c r="AA18" s="280"/>
      <c r="AB18" s="280"/>
      <c r="AC18" s="280"/>
      <c r="AD18" s="280"/>
      <c r="AE18" s="280"/>
      <c r="AF18" s="280"/>
      <c r="AG18" s="280"/>
      <c r="AH18" s="280"/>
      <c r="AI18" s="280"/>
      <c r="AJ18" s="280"/>
      <c r="AK18" s="280"/>
      <c r="AL18" s="280"/>
      <c r="AM18" s="280"/>
    </row>
    <row r="19" spans="1:40">
      <c r="A19" s="280"/>
      <c r="B19" s="280"/>
      <c r="C19" s="280"/>
      <c r="D19" s="280"/>
      <c r="E19" s="280"/>
      <c r="F19" s="280"/>
      <c r="G19" s="280"/>
      <c r="H19" s="280"/>
      <c r="I19" s="280"/>
      <c r="J19" s="280"/>
      <c r="K19" s="280"/>
      <c r="L19" s="280"/>
      <c r="M19" s="280"/>
      <c r="N19" s="280"/>
      <c r="O19" s="280"/>
      <c r="P19" s="280"/>
      <c r="Q19" s="280"/>
      <c r="R19" s="280"/>
      <c r="S19" s="280"/>
      <c r="T19" s="280"/>
      <c r="U19" s="280"/>
      <c r="V19" s="280"/>
      <c r="W19" s="280"/>
      <c r="X19" s="280"/>
      <c r="Y19" s="280"/>
      <c r="Z19" s="280"/>
      <c r="AA19" s="280"/>
      <c r="AB19" s="280"/>
      <c r="AC19" s="280"/>
      <c r="AD19" s="280"/>
      <c r="AE19" s="280"/>
      <c r="AF19" s="280"/>
      <c r="AG19" s="280"/>
      <c r="AH19" s="280"/>
      <c r="AI19" s="280"/>
      <c r="AJ19" s="280"/>
      <c r="AK19" s="280"/>
      <c r="AL19" s="280"/>
      <c r="AM19" s="280"/>
    </row>
    <row r="20" spans="1:40">
      <c r="AN20" s="172" t="s">
        <v>333</v>
      </c>
    </row>
    <row r="21" spans="1:40">
      <c r="A21" s="188" t="str">
        <f>CONCATENATE("1.  ",VLOOKUP(AN21,Table1[#All],2,0))</f>
        <v>1.  นางอนงค์ แสงทอง</v>
      </c>
      <c r="B21" s="188"/>
      <c r="C21" s="188"/>
      <c r="D21" s="188"/>
      <c r="E21" s="188"/>
      <c r="F21" s="188"/>
      <c r="G21" s="188"/>
      <c r="H21" s="188"/>
      <c r="I21" s="188"/>
      <c r="J21" s="188"/>
      <c r="K21" s="188"/>
      <c r="L21" s="188"/>
      <c r="M21" s="188"/>
      <c r="N21" s="188"/>
      <c r="O21" s="188"/>
      <c r="P21" s="188"/>
      <c r="Q21" s="278" t="s">
        <v>327</v>
      </c>
      <c r="R21" s="278"/>
      <c r="S21" s="278"/>
      <c r="T21" s="278"/>
      <c r="U21" s="278"/>
      <c r="V21" s="278"/>
      <c r="W21" s="278"/>
      <c r="X21" s="278"/>
      <c r="Y21" s="278"/>
      <c r="Z21" s="290">
        <f>VLOOKUP(AN21,Table1[#All],3,0)</f>
        <v>3501400100291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78" t="str">
        <f>CONCATENATE("( ",Sheet1!B8," )")</f>
        <v>( นายปฏิยุทธ์ ฟองแก้ว )</v>
      </c>
      <c r="Y29" s="278"/>
      <c r="Z29" s="278"/>
      <c r="AA29" s="278"/>
      <c r="AB29" s="278"/>
      <c r="AC29" s="278"/>
      <c r="AD29" s="278"/>
      <c r="AE29" s="278"/>
      <c r="AF29" s="278"/>
      <c r="AG29" s="278"/>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2"/>
      <c r="M6" s="292"/>
      <c r="N6" s="292"/>
    </row>
    <row r="7" spans="2:15">
      <c r="J7" s="35"/>
    </row>
    <row r="8" spans="2:15" ht="26.25">
      <c r="G8" s="293" t="e">
        <f>#REF!</f>
        <v>#REF!</v>
      </c>
      <c r="H8" s="293"/>
      <c r="I8" s="293"/>
      <c r="J8" s="293"/>
      <c r="K8" s="293"/>
    </row>
    <row r="9" spans="2:15">
      <c r="G9" s="27" t="s">
        <v>115</v>
      </c>
      <c r="H9" s="291" t="s">
        <v>66</v>
      </c>
      <c r="I9" s="291"/>
    </row>
    <row r="11" spans="2:15">
      <c r="F11" s="31" t="s">
        <v>117</v>
      </c>
      <c r="G11" s="31"/>
      <c r="H11" s="31"/>
      <c r="I11" s="31"/>
      <c r="J11" s="31"/>
      <c r="K11" s="31"/>
      <c r="L11" s="31"/>
      <c r="M11" s="31"/>
      <c r="N11" s="27" t="s">
        <v>118</v>
      </c>
    </row>
    <row r="12" spans="2:15">
      <c r="E12" s="296" t="s">
        <v>116</v>
      </c>
      <c r="M12" s="27"/>
    </row>
    <row r="13" spans="2:15">
      <c r="E13" s="296"/>
      <c r="F13" s="295" t="str">
        <f>ปกสำนวน!$C$10</f>
        <v>นางสาวสิริพิชญ์  ใจหมั่น</v>
      </c>
      <c r="G13" s="295"/>
      <c r="H13" s="295"/>
      <c r="I13" s="295"/>
      <c r="J13" s="295"/>
      <c r="K13" s="295"/>
      <c r="L13" s="295"/>
      <c r="M13" s="295"/>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7" t="s">
        <v>131</v>
      </c>
      <c r="F26" s="297"/>
      <c r="G26" s="21" t="s">
        <v>62</v>
      </c>
      <c r="H26" s="294"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302" t="s">
        <v>0</v>
      </c>
      <c r="C19" s="302"/>
      <c r="D19" s="302"/>
      <c r="E19" s="302"/>
      <c r="F19" s="302" t="s">
        <v>138</v>
      </c>
      <c r="G19" s="302"/>
      <c r="H19" s="302"/>
      <c r="I19" s="308" t="s">
        <v>63</v>
      </c>
      <c r="J19" s="309"/>
      <c r="K19" s="309"/>
      <c r="L19" s="302" t="s">
        <v>139</v>
      </c>
      <c r="M19" s="302"/>
      <c r="N19" s="302"/>
    </row>
    <row r="20" spans="1:16">
      <c r="B20" s="303" t="e">
        <f>$I$8</f>
        <v>#REF!</v>
      </c>
      <c r="C20" s="303"/>
      <c r="D20" s="303"/>
      <c r="E20" s="303"/>
      <c r="F20" s="312" t="e">
        <f>#REF!</f>
        <v>#REF!</v>
      </c>
      <c r="G20" s="312"/>
      <c r="H20" s="312"/>
      <c r="I20" s="306" t="e">
        <f>#REF!</f>
        <v>#REF!</v>
      </c>
      <c r="J20" s="307"/>
      <c r="K20" s="307"/>
      <c r="L20" s="313" t="e">
        <f>#REF!</f>
        <v>#REF!</v>
      </c>
      <c r="M20" s="313"/>
      <c r="N20" s="313"/>
    </row>
    <row r="21" spans="1:16">
      <c r="B21" s="304" t="s">
        <v>146</v>
      </c>
      <c r="C21" s="305"/>
      <c r="D21" s="305"/>
      <c r="E21" s="305"/>
      <c r="F21" s="305"/>
      <c r="G21" s="305"/>
      <c r="H21" s="305"/>
      <c r="I21" s="305"/>
      <c r="J21" s="305"/>
      <c r="K21" s="305"/>
      <c r="L21" s="310" t="e">
        <f>SUM(L20)</f>
        <v>#REF!</v>
      </c>
      <c r="M21" s="310"/>
      <c r="N21" s="310"/>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5" t="s">
        <v>60</v>
      </c>
      <c r="P7" s="315"/>
      <c r="Q7" s="48"/>
      <c r="R7" s="48"/>
      <c r="S7" s="48"/>
      <c r="T7" s="48"/>
      <c r="U7" s="48"/>
      <c r="V7" s="49" t="e">
        <f>ใบปะหน้าค่าธรรมเนียมศาล!$C$6</f>
        <v>#REF!</v>
      </c>
      <c r="W7" s="336" t="s">
        <v>202</v>
      </c>
      <c r="X7" s="336"/>
      <c r="Y7" s="50"/>
    </row>
    <row r="8" spans="1:25" ht="21" customHeight="1">
      <c r="A8" s="51"/>
      <c r="O8" s="315" t="s">
        <v>62</v>
      </c>
      <c r="P8" s="315"/>
      <c r="Q8" s="48"/>
      <c r="R8" s="48"/>
      <c r="S8" s="345" t="e">
        <f>#REF!</f>
        <v>#REF!</v>
      </c>
      <c r="T8" s="345"/>
      <c r="U8" s="345"/>
      <c r="V8" s="345"/>
      <c r="W8" s="345"/>
      <c r="X8" s="345"/>
      <c r="Y8" s="52"/>
    </row>
    <row r="9" spans="1:25" ht="21.75">
      <c r="A9" s="53" t="s">
        <v>63</v>
      </c>
      <c r="B9" s="54"/>
      <c r="C9" s="55" t="e">
        <f>#REF!</f>
        <v>#REF!</v>
      </c>
      <c r="D9" s="56"/>
      <c r="E9" s="56"/>
      <c r="F9" s="56"/>
      <c r="G9" s="56"/>
      <c r="H9" s="56"/>
      <c r="I9" s="56"/>
      <c r="J9" s="56"/>
      <c r="K9" s="56"/>
      <c r="L9" s="56"/>
      <c r="M9" s="57" t="s">
        <v>64</v>
      </c>
      <c r="R9" s="58"/>
      <c r="S9" s="58"/>
      <c r="T9" s="59"/>
      <c r="U9" s="59" t="s">
        <v>152</v>
      </c>
      <c r="V9" s="337"/>
      <c r="W9" s="337"/>
      <c r="X9" s="337"/>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30" t="e">
        <f>#REF!</f>
        <v>#REF!</v>
      </c>
      <c r="F11" s="330"/>
      <c r="G11" s="330"/>
      <c r="H11" s="330"/>
      <c r="I11" s="330"/>
      <c r="J11" s="58"/>
      <c r="K11" s="58"/>
      <c r="L11" s="344" t="s">
        <v>0</v>
      </c>
      <c r="M11" s="344"/>
      <c r="N11" s="56"/>
      <c r="O11" s="346" t="e">
        <f>#REF!</f>
        <v>#REF!</v>
      </c>
      <c r="P11" s="346"/>
      <c r="Q11" s="346"/>
      <c r="R11" s="346"/>
      <c r="S11" s="346"/>
      <c r="T11" s="346"/>
      <c r="U11" s="346"/>
      <c r="V11" s="346"/>
      <c r="W11" s="346"/>
      <c r="X11" s="346"/>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7" t="s">
        <v>72</v>
      </c>
      <c r="B14" s="318"/>
      <c r="C14" s="318"/>
      <c r="D14" s="318"/>
      <c r="E14" s="318"/>
      <c r="F14" s="318"/>
      <c r="G14" s="318"/>
      <c r="H14" s="318"/>
      <c r="I14" s="319"/>
      <c r="J14" s="317" t="s">
        <v>73</v>
      </c>
      <c r="K14" s="318"/>
      <c r="L14" s="318"/>
      <c r="M14" s="318"/>
      <c r="N14" s="318"/>
      <c r="O14" s="318"/>
      <c r="P14" s="318"/>
      <c r="Q14" s="319"/>
      <c r="R14" s="317" t="s">
        <v>74</v>
      </c>
      <c r="S14" s="318"/>
      <c r="T14" s="318"/>
      <c r="U14" s="318"/>
      <c r="V14" s="318"/>
      <c r="W14" s="318"/>
      <c r="X14" s="318"/>
      <c r="Y14" s="319"/>
    </row>
    <row r="15" spans="1:25" ht="21.75">
      <c r="A15" s="351" t="s">
        <v>103</v>
      </c>
      <c r="B15" s="352"/>
      <c r="C15" s="352"/>
      <c r="D15" s="352"/>
      <c r="E15" s="352"/>
      <c r="F15" s="352"/>
      <c r="G15" s="352"/>
      <c r="H15" s="352"/>
      <c r="I15" s="353"/>
      <c r="J15" s="338" t="e">
        <f>$E$10</f>
        <v>#REF!</v>
      </c>
      <c r="K15" s="339"/>
      <c r="L15" s="339"/>
      <c r="M15" s="339"/>
      <c r="N15" s="339"/>
      <c r="O15" s="339"/>
      <c r="P15" s="339"/>
      <c r="Q15" s="340"/>
      <c r="R15" s="341" t="e">
        <f>#REF!</f>
        <v>#REF!</v>
      </c>
      <c r="S15" s="342"/>
      <c r="T15" s="342"/>
      <c r="U15" s="342"/>
      <c r="V15" s="342"/>
      <c r="W15" s="342"/>
      <c r="X15" s="342"/>
      <c r="Y15" s="343"/>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31" t="s">
        <v>75</v>
      </c>
      <c r="B18" s="332"/>
      <c r="C18" s="332"/>
      <c r="D18" s="332"/>
      <c r="E18" s="332"/>
      <c r="F18" s="332"/>
      <c r="G18" s="332"/>
      <c r="H18" s="332"/>
      <c r="I18" s="332"/>
      <c r="J18" s="332"/>
      <c r="K18" s="332"/>
      <c r="L18" s="332"/>
      <c r="M18" s="332"/>
      <c r="N18" s="332"/>
      <c r="O18" s="332"/>
      <c r="P18" s="332"/>
      <c r="Q18" s="333"/>
      <c r="R18" s="357" t="e">
        <f>SUM(R15:Y17)</f>
        <v>#REF!</v>
      </c>
      <c r="S18" s="309"/>
      <c r="T18" s="309"/>
      <c r="U18" s="309"/>
      <c r="V18" s="309"/>
      <c r="W18" s="309"/>
      <c r="X18" s="309"/>
      <c r="Y18" s="350"/>
    </row>
    <row r="19" spans="1:25" ht="21.75">
      <c r="A19" s="96" t="s">
        <v>76</v>
      </c>
      <c r="B19" s="97"/>
      <c r="C19" s="97"/>
      <c r="D19" s="97"/>
      <c r="E19" s="97"/>
      <c r="F19" s="97"/>
      <c r="G19" s="97"/>
      <c r="H19" s="97"/>
      <c r="I19" s="97"/>
      <c r="J19" s="97"/>
      <c r="K19" s="97"/>
      <c r="L19" s="66"/>
      <c r="M19" s="58"/>
      <c r="N19" s="66"/>
      <c r="O19" s="58"/>
      <c r="P19" s="334" t="s">
        <v>73</v>
      </c>
      <c r="Q19" s="334"/>
      <c r="R19" s="58"/>
      <c r="S19" s="58"/>
      <c r="T19" s="58"/>
      <c r="U19" s="58"/>
      <c r="V19" s="58"/>
      <c r="W19" s="58"/>
      <c r="X19" s="57" t="s">
        <v>77</v>
      </c>
      <c r="Y19" s="46"/>
    </row>
    <row r="20" spans="1:25" ht="21.75">
      <c r="A20" s="53" t="s">
        <v>78</v>
      </c>
      <c r="B20" s="57"/>
      <c r="C20" s="57"/>
      <c r="D20" s="55" t="e">
        <f>$C$9</f>
        <v>#REF!</v>
      </c>
      <c r="E20" s="55"/>
      <c r="F20" s="55"/>
      <c r="G20" s="54"/>
      <c r="H20" s="56"/>
      <c r="I20" s="56"/>
      <c r="J20" s="315" t="s">
        <v>79</v>
      </c>
      <c r="K20" s="315"/>
      <c r="L20" s="315"/>
      <c r="M20" s="335" t="e">
        <f>#REF!</f>
        <v>#REF!</v>
      </c>
      <c r="N20" s="335"/>
      <c r="O20" s="335"/>
      <c r="P20" s="315" t="s">
        <v>80</v>
      </c>
      <c r="Q20" s="315"/>
      <c r="R20" s="315"/>
      <c r="S20" s="358" t="e">
        <f>$R$18</f>
        <v>#REF!</v>
      </c>
      <c r="T20" s="358"/>
      <c r="U20" s="358"/>
      <c r="V20" s="358"/>
      <c r="W20" s="358"/>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7" t="s">
        <v>49</v>
      </c>
      <c r="B24" s="318"/>
      <c r="C24" s="318"/>
      <c r="D24" s="318"/>
      <c r="E24" s="318"/>
      <c r="F24" s="318"/>
      <c r="G24" s="318"/>
      <c r="H24" s="318"/>
      <c r="I24" s="318"/>
      <c r="J24" s="318"/>
      <c r="K24" s="318"/>
      <c r="L24" s="318"/>
      <c r="M24" s="318"/>
      <c r="N24" s="318"/>
      <c r="O24" s="319"/>
      <c r="P24" s="317" t="s">
        <v>84</v>
      </c>
      <c r="Q24" s="318"/>
      <c r="R24" s="318"/>
      <c r="S24" s="318"/>
      <c r="T24" s="319"/>
      <c r="U24" s="317" t="s">
        <v>80</v>
      </c>
      <c r="V24" s="318"/>
      <c r="W24" s="318"/>
      <c r="X24" s="318"/>
      <c r="Y24" s="319"/>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54"/>
      <c r="Q26" s="355"/>
      <c r="R26" s="355"/>
      <c r="S26" s="355"/>
      <c r="T26" s="356"/>
      <c r="U26" s="359" t="e">
        <f>#REF!</f>
        <v>#REF!</v>
      </c>
      <c r="V26" s="360"/>
      <c r="W26" s="360"/>
      <c r="X26" s="360"/>
      <c r="Y26" s="361"/>
    </row>
    <row r="27" spans="1:25" ht="21.75">
      <c r="A27" s="68" t="s">
        <v>14</v>
      </c>
      <c r="B27" s="57" t="s">
        <v>87</v>
      </c>
      <c r="G27" s="58"/>
      <c r="H27" s="58"/>
      <c r="I27" s="58"/>
      <c r="J27" s="58"/>
      <c r="K27" s="58"/>
      <c r="L27" s="58"/>
      <c r="M27" s="58"/>
      <c r="N27" s="58"/>
      <c r="O27" s="60"/>
      <c r="P27" s="354"/>
      <c r="Q27" s="355"/>
      <c r="R27" s="355"/>
      <c r="S27" s="355"/>
      <c r="T27" s="356"/>
      <c r="U27" s="327"/>
      <c r="V27" s="328"/>
      <c r="W27" s="328"/>
      <c r="X27" s="328"/>
      <c r="Y27" s="329"/>
    </row>
    <row r="28" spans="1:25" ht="21.75">
      <c r="A28" s="68" t="s">
        <v>14</v>
      </c>
      <c r="B28" s="57" t="s">
        <v>88</v>
      </c>
      <c r="F28" s="62"/>
      <c r="G28" s="62" t="s">
        <v>14</v>
      </c>
      <c r="H28" s="99" t="s">
        <v>89</v>
      </c>
      <c r="I28" s="100"/>
      <c r="J28" s="100"/>
      <c r="K28" s="101" t="s">
        <v>14</v>
      </c>
      <c r="L28" s="99" t="s">
        <v>90</v>
      </c>
      <c r="M28" s="99"/>
      <c r="N28" s="100"/>
      <c r="O28" s="102"/>
      <c r="P28" s="354"/>
      <c r="Q28" s="355"/>
      <c r="R28" s="355"/>
      <c r="S28" s="355"/>
      <c r="T28" s="356"/>
      <c r="U28" s="327"/>
      <c r="V28" s="328"/>
      <c r="W28" s="328"/>
      <c r="X28" s="328"/>
      <c r="Y28" s="329"/>
    </row>
    <row r="29" spans="1:25" ht="21.75">
      <c r="A29" s="68" t="s">
        <v>14</v>
      </c>
      <c r="B29" s="57" t="s">
        <v>91</v>
      </c>
      <c r="F29" s="69"/>
      <c r="G29" s="69"/>
      <c r="H29" s="103"/>
      <c r="I29" s="104"/>
      <c r="J29" s="104"/>
      <c r="K29" s="105"/>
      <c r="L29" s="103"/>
      <c r="M29" s="103"/>
      <c r="N29" s="104"/>
      <c r="O29" s="104"/>
      <c r="P29" s="354"/>
      <c r="Q29" s="355"/>
      <c r="R29" s="355"/>
      <c r="S29" s="355"/>
      <c r="T29" s="356"/>
      <c r="U29" s="327"/>
      <c r="V29" s="328"/>
      <c r="W29" s="328"/>
      <c r="X29" s="328"/>
      <c r="Y29" s="329"/>
    </row>
    <row r="30" spans="1:25" ht="21.75">
      <c r="A30" s="68" t="s">
        <v>14</v>
      </c>
      <c r="B30" s="57" t="s">
        <v>91</v>
      </c>
      <c r="F30" s="69"/>
      <c r="G30" s="54"/>
      <c r="H30" s="56"/>
      <c r="I30" s="56"/>
      <c r="J30" s="69"/>
      <c r="K30" s="54"/>
      <c r="L30" s="54"/>
      <c r="M30" s="56"/>
      <c r="N30" s="56"/>
      <c r="O30" s="63"/>
      <c r="P30" s="354"/>
      <c r="Q30" s="355"/>
      <c r="R30" s="355"/>
      <c r="S30" s="355"/>
      <c r="T30" s="356"/>
      <c r="U30" s="327"/>
      <c r="V30" s="328"/>
      <c r="W30" s="328"/>
      <c r="X30" s="328"/>
      <c r="Y30" s="329"/>
    </row>
    <row r="31" spans="1:25" ht="22.5" thickBot="1">
      <c r="A31" s="320" t="s">
        <v>92</v>
      </c>
      <c r="B31" s="315"/>
      <c r="D31" s="56"/>
      <c r="E31" s="56"/>
      <c r="F31" s="56"/>
      <c r="G31" s="56"/>
      <c r="H31" s="56"/>
      <c r="I31" s="56"/>
      <c r="J31" s="56"/>
      <c r="K31" s="56"/>
      <c r="L31" s="56"/>
      <c r="M31" s="56"/>
      <c r="N31" s="56"/>
      <c r="O31" s="63"/>
      <c r="P31" s="64"/>
      <c r="T31" s="46"/>
      <c r="U31" s="327"/>
      <c r="V31" s="328"/>
      <c r="W31" s="328"/>
      <c r="X31" s="328"/>
      <c r="Y31" s="329"/>
    </row>
    <row r="32" spans="1:25" ht="22.5" thickBot="1">
      <c r="A32" s="70" t="s">
        <v>93</v>
      </c>
      <c r="B32" s="57"/>
      <c r="D32" s="309" t="e">
        <f>"- ("&amp;BAHTTEXT($U$32)&amp;") -"</f>
        <v>#REF!</v>
      </c>
      <c r="E32" s="309"/>
      <c r="F32" s="309"/>
      <c r="G32" s="309"/>
      <c r="H32" s="309"/>
      <c r="I32" s="309"/>
      <c r="J32" s="309"/>
      <c r="K32" s="309"/>
      <c r="L32" s="309"/>
      <c r="M32" s="309"/>
      <c r="N32" s="309"/>
      <c r="O32" s="350"/>
      <c r="P32" s="67"/>
      <c r="U32" s="321" t="e">
        <f>SUM(U26:$Y$30)</f>
        <v>#REF!</v>
      </c>
      <c r="V32" s="322"/>
      <c r="W32" s="322"/>
      <c r="X32" s="322"/>
      <c r="Y32" s="323"/>
    </row>
    <row r="33" spans="1:25" ht="11.25" customHeight="1">
      <c r="A33" s="64"/>
      <c r="O33" s="46"/>
      <c r="T33" s="46"/>
      <c r="Y33" s="46"/>
    </row>
    <row r="34" spans="1:25" ht="21.75">
      <c r="A34" s="317" t="s">
        <v>148</v>
      </c>
      <c r="B34" s="318"/>
      <c r="C34" s="318"/>
      <c r="D34" s="318"/>
      <c r="E34" s="319"/>
      <c r="F34" s="317" t="s">
        <v>149</v>
      </c>
      <c r="G34" s="318"/>
      <c r="H34" s="318"/>
      <c r="I34" s="318"/>
      <c r="J34" s="319"/>
      <c r="K34" s="317" t="s">
        <v>150</v>
      </c>
      <c r="L34" s="318"/>
      <c r="M34" s="318"/>
      <c r="N34" s="318"/>
      <c r="O34" s="318"/>
      <c r="P34" s="317" t="s">
        <v>150</v>
      </c>
      <c r="Q34" s="318"/>
      <c r="R34" s="318"/>
      <c r="S34" s="318"/>
      <c r="T34" s="318"/>
      <c r="U34" s="324" t="s">
        <v>151</v>
      </c>
      <c r="V34" s="325"/>
      <c r="W34" s="325"/>
      <c r="X34" s="325"/>
      <c r="Y34" s="32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14" t="s">
        <v>95</v>
      </c>
      <c r="B37" s="315"/>
      <c r="C37" s="315"/>
      <c r="D37" s="315"/>
      <c r="E37" s="316"/>
      <c r="F37" s="314" t="s">
        <v>95</v>
      </c>
      <c r="G37" s="315"/>
      <c r="H37" s="315"/>
      <c r="I37" s="315"/>
      <c r="J37" s="316"/>
      <c r="K37" s="315" t="s">
        <v>94</v>
      </c>
      <c r="L37" s="315"/>
      <c r="M37" s="315"/>
      <c r="N37" s="315"/>
      <c r="O37" s="316"/>
      <c r="R37" s="71" t="s">
        <v>96</v>
      </c>
      <c r="T37" s="46"/>
      <c r="U37" s="315" t="s">
        <v>94</v>
      </c>
      <c r="V37" s="315"/>
      <c r="W37" s="315"/>
      <c r="X37" s="315"/>
      <c r="Y37" s="316"/>
    </row>
    <row r="38" spans="1:25" ht="21.75">
      <c r="A38" s="72" t="s">
        <v>62</v>
      </c>
      <c r="B38" s="347"/>
      <c r="C38" s="348"/>
      <c r="D38" s="348"/>
      <c r="E38" s="349"/>
      <c r="F38" s="54" t="s">
        <v>62</v>
      </c>
      <c r="G38" s="348"/>
      <c r="H38" s="348"/>
      <c r="I38" s="348"/>
      <c r="J38" s="349"/>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9" t="s">
        <v>107</v>
      </c>
      <c r="B1" s="229"/>
      <c r="C1" s="229"/>
      <c r="D1" s="229"/>
      <c r="E1" s="229"/>
      <c r="F1" s="229"/>
      <c r="G1" s="229"/>
      <c r="H1" s="229"/>
      <c r="I1" s="229"/>
    </row>
    <row r="3" spans="1:9" ht="21.75" customHeight="1">
      <c r="C3" s="19" t="s">
        <v>108</v>
      </c>
      <c r="D3" s="19"/>
      <c r="E3" s="280" t="e">
        <f>#REF!</f>
        <v>#REF!</v>
      </c>
      <c r="F3" s="280"/>
      <c r="G3" s="280"/>
      <c r="H3" s="36"/>
      <c r="I3" s="36"/>
    </row>
    <row r="4" spans="1:9">
      <c r="C4" s="19" t="s">
        <v>109</v>
      </c>
      <c r="D4" s="19"/>
      <c r="E4" s="362" t="e">
        <f>#REF!</f>
        <v>#REF!</v>
      </c>
      <c r="F4" s="362"/>
      <c r="G4" s="362"/>
    </row>
    <row r="5" spans="1:9">
      <c r="B5" s="22"/>
      <c r="C5" s="22"/>
      <c r="D5" s="22"/>
      <c r="E5" s="22"/>
      <c r="F5" s="22"/>
      <c r="G5" s="22"/>
      <c r="H5" s="22"/>
    </row>
    <row r="35" spans="1:10" ht="29.25">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1" t="e">
        <f>ค่าธรรมเนียมศาล!$S$8</f>
        <v>#REF!</v>
      </c>
      <c r="L7" s="311"/>
      <c r="M7" s="311"/>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36" t="e">
        <f>#REF!</f>
        <v>#REF!</v>
      </c>
      <c r="C21" s="236"/>
    </row>
    <row r="22" spans="1:16">
      <c r="B22" s="75" t="s">
        <v>45</v>
      </c>
    </row>
    <row r="23" spans="1:16" ht="22.5" thickBot="1">
      <c r="C23" s="74"/>
      <c r="D23" s="74"/>
      <c r="E23" s="74"/>
      <c r="F23" s="74"/>
      <c r="G23" s="74"/>
      <c r="H23" s="74"/>
      <c r="I23" s="74"/>
      <c r="J23" s="74"/>
      <c r="K23" s="74"/>
      <c r="L23" s="74"/>
      <c r="M23" s="74"/>
      <c r="N23" s="74"/>
    </row>
    <row r="24" spans="1:16" ht="22.5" thickBot="1">
      <c r="C24" s="80" t="s">
        <v>1</v>
      </c>
      <c r="D24" s="372" t="s">
        <v>49</v>
      </c>
      <c r="E24" s="363"/>
      <c r="F24" s="363"/>
      <c r="G24" s="363"/>
      <c r="H24" s="363"/>
      <c r="I24" s="363"/>
      <c r="J24" s="363"/>
      <c r="K24" s="81"/>
      <c r="L24" s="363" t="s">
        <v>48</v>
      </c>
      <c r="M24" s="363"/>
      <c r="N24" s="363"/>
    </row>
    <row r="25" spans="1:16">
      <c r="C25" s="82">
        <v>1</v>
      </c>
      <c r="D25" s="83" t="s">
        <v>58</v>
      </c>
      <c r="G25" s="84" t="s">
        <v>46</v>
      </c>
      <c r="H25" s="38" t="s">
        <v>47</v>
      </c>
      <c r="I25" s="85" t="e">
        <f>#REF!</f>
        <v>#REF!</v>
      </c>
      <c r="K25" s="86"/>
      <c r="L25" s="364" t="e">
        <f>#REF!</f>
        <v>#REF!</v>
      </c>
      <c r="M25" s="364"/>
      <c r="N25" s="364"/>
    </row>
    <row r="26" spans="1:16">
      <c r="C26" s="82">
        <v>2</v>
      </c>
      <c r="D26" s="83" t="s">
        <v>100</v>
      </c>
      <c r="K26" s="87"/>
      <c r="L26" s="365" t="e">
        <f>IF(#REF!&gt;701,#REF!,2000)</f>
        <v>#REF!</v>
      </c>
      <c r="M26" s="365"/>
      <c r="N26" s="365"/>
    </row>
    <row r="27" spans="1:16">
      <c r="C27" s="82"/>
      <c r="D27" s="83"/>
      <c r="K27" s="87"/>
      <c r="L27" s="365"/>
      <c r="M27" s="365"/>
      <c r="N27" s="365"/>
    </row>
    <row r="28" spans="1:16">
      <c r="C28" s="88"/>
      <c r="D28" s="89"/>
      <c r="E28" s="55"/>
      <c r="F28" s="55"/>
      <c r="G28" s="55"/>
      <c r="H28" s="55"/>
      <c r="I28" s="366" t="s">
        <v>52</v>
      </c>
      <c r="J28" s="366"/>
      <c r="K28" s="366"/>
      <c r="L28" s="367"/>
      <c r="M28" s="367"/>
      <c r="N28" s="367"/>
    </row>
    <row r="29" spans="1:16" ht="22.5" thickBot="1">
      <c r="C29" s="90"/>
      <c r="D29" s="371"/>
      <c r="E29" s="371"/>
      <c r="F29" s="371"/>
      <c r="G29" s="374" t="e">
        <f>"- ("&amp;BAHTTEXT($L$29)&amp;") -"</f>
        <v>#REF!</v>
      </c>
      <c r="H29" s="374"/>
      <c r="I29" s="374"/>
      <c r="J29" s="374"/>
      <c r="K29" s="374"/>
      <c r="L29" s="373" t="e">
        <f>SUM(L25:N28)</f>
        <v>#REF!</v>
      </c>
      <c r="M29" s="373"/>
      <c r="N29" s="373"/>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2025-01-18T07:46:14Z</cp:lastPrinted>
  <dcterms:created xsi:type="dcterms:W3CDTF">2016-06-06T16:13:57Z</dcterms:created>
  <dcterms:modified xsi:type="dcterms:W3CDTF">2025-01-18T07:51:38Z</dcterms:modified>
</cp:coreProperties>
</file>